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rochmnus-my.sharepoint.com/personal/rklingpunt_rochestermn_gov/Documents/"/>
    </mc:Choice>
  </mc:AlternateContent>
  <xr:revisionPtr revIDLastSave="3" documentId="8_{F7A26B2A-E8A0-439F-8857-258AB20185B3}" xr6:coauthVersionLast="47" xr6:coauthVersionMax="47" xr10:uidLastSave="{B5D96BBF-3E88-4545-963C-01408EAF7204}"/>
  <bookViews>
    <workbookView xWindow="-120" yWindow="-16320" windowWidth="29040" windowHeight="15720" tabRatio="764" xr2:uid="{00000000-000D-0000-FFFF-FFFF00000000}"/>
  </bookViews>
  <sheets>
    <sheet name="Disclaimer" sheetId="8" r:id="rId1"/>
    <sheet name="NEW SFD, ADDS, DECKS, ACCES STR" sheetId="1" r:id="rId2"/>
    <sheet name="Residential Alter." sheetId="2" r:id="rId3"/>
    <sheet name="Mfg. Home" sheetId="7" r:id="rId4"/>
    <sheet name="Business Sign" sheetId="3" r:id="rId5"/>
    <sheet name="Demolition" sheetId="5" r:id="rId6"/>
    <sheet name="Commercial" sheetId="6" r:id="rId7"/>
    <sheet name="Valuation Calculations" sheetId="9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7" i="7" l="1"/>
  <c r="B17" i="7"/>
  <c r="B7" i="7"/>
  <c r="F27" i="2"/>
  <c r="F17" i="2"/>
  <c r="F7" i="2"/>
  <c r="B37" i="2"/>
  <c r="B27" i="2"/>
  <c r="B17" i="2"/>
  <c r="B7" i="2"/>
  <c r="F29" i="1"/>
  <c r="F18" i="1"/>
  <c r="F7" i="1"/>
  <c r="B37" i="1"/>
  <c r="B27" i="1"/>
  <c r="B17" i="1"/>
  <c r="B7" i="1"/>
  <c r="B10" i="9"/>
  <c r="H6" i="9"/>
  <c r="E6" i="9"/>
  <c r="K4" i="9"/>
  <c r="I39" i="6" l="1"/>
  <c r="I29" i="6"/>
  <c r="I19" i="6"/>
  <c r="I9" i="6"/>
  <c r="F39" i="6"/>
  <c r="F29" i="6"/>
  <c r="F19" i="6"/>
  <c r="F9" i="6"/>
  <c r="B39" i="6"/>
  <c r="B29" i="6"/>
  <c r="B19" i="6"/>
  <c r="B43" i="5"/>
  <c r="B36" i="5"/>
  <c r="B28" i="5"/>
  <c r="B21" i="5"/>
  <c r="B14" i="5"/>
  <c r="B16" i="3"/>
  <c r="F25" i="3"/>
  <c r="F16" i="3"/>
  <c r="F8" i="3"/>
  <c r="B24" i="3"/>
  <c r="F31" i="1"/>
  <c r="F20" i="1"/>
  <c r="F9" i="1"/>
  <c r="B39" i="1"/>
  <c r="B29" i="1"/>
  <c r="B26" i="1"/>
  <c r="B19" i="1"/>
  <c r="B41" i="2"/>
  <c r="F6" i="3"/>
  <c r="F7" i="3" s="1"/>
  <c r="F23" i="3"/>
  <c r="F24" i="3" s="1"/>
  <c r="F8" i="1"/>
  <c r="B42" i="5"/>
  <c r="F6" i="6"/>
  <c r="F7" i="6" s="1"/>
  <c r="I6" i="6"/>
  <c r="B7" i="6"/>
  <c r="B8" i="6"/>
  <c r="B11" i="6" s="1"/>
  <c r="F8" i="6"/>
  <c r="I8" i="6"/>
  <c r="B16" i="6"/>
  <c r="F16" i="6"/>
  <c r="F17" i="6" s="1"/>
  <c r="I16" i="6"/>
  <c r="I17" i="6" s="1"/>
  <c r="B18" i="6"/>
  <c r="F18" i="6"/>
  <c r="I18" i="6"/>
  <c r="B26" i="6"/>
  <c r="F26" i="6"/>
  <c r="I26" i="6"/>
  <c r="I27" i="6" s="1"/>
  <c r="B28" i="6"/>
  <c r="F28" i="6"/>
  <c r="I28" i="6"/>
  <c r="B36" i="6"/>
  <c r="B37" i="6" s="1"/>
  <c r="F36" i="6"/>
  <c r="I36" i="6"/>
  <c r="I37" i="6" s="1"/>
  <c r="F37" i="6"/>
  <c r="B38" i="6"/>
  <c r="F38" i="6"/>
  <c r="I38" i="6"/>
  <c r="B8" i="5"/>
  <c r="B13" i="5"/>
  <c r="B20" i="5"/>
  <c r="B27" i="5"/>
  <c r="B35" i="5"/>
  <c r="B37" i="5" s="1"/>
  <c r="B8" i="3"/>
  <c r="B9" i="3"/>
  <c r="B14" i="3"/>
  <c r="B15" i="3" s="1"/>
  <c r="F14" i="3"/>
  <c r="F15" i="3" s="1"/>
  <c r="B22" i="3"/>
  <c r="B23" i="3" s="1"/>
  <c r="B8" i="7"/>
  <c r="B11" i="7" s="1"/>
  <c r="B16" i="7"/>
  <c r="B18" i="7"/>
  <c r="B26" i="7"/>
  <c r="B28" i="7"/>
  <c r="F6" i="2"/>
  <c r="B8" i="2"/>
  <c r="F8" i="2"/>
  <c r="B16" i="2"/>
  <c r="F16" i="2"/>
  <c r="B18" i="2"/>
  <c r="F18" i="2"/>
  <c r="B26" i="2"/>
  <c r="F26" i="2"/>
  <c r="B28" i="2"/>
  <c r="F28" i="2"/>
  <c r="B36" i="2"/>
  <c r="B38" i="2"/>
  <c r="F6" i="1"/>
  <c r="B8" i="1"/>
  <c r="B11" i="1" s="1"/>
  <c r="B16" i="1"/>
  <c r="F17" i="1"/>
  <c r="B18" i="1"/>
  <c r="F19" i="1"/>
  <c r="B28" i="1"/>
  <c r="F28" i="1"/>
  <c r="F30" i="1"/>
  <c r="B36" i="1"/>
  <c r="B38" i="1"/>
  <c r="I41" i="6" l="1"/>
  <c r="B30" i="5"/>
  <c r="B22" i="5"/>
  <c r="B15" i="5"/>
  <c r="F26" i="3"/>
  <c r="B25" i="3"/>
  <c r="B21" i="1"/>
  <c r="B21" i="7"/>
  <c r="I21" i="6"/>
  <c r="F21" i="6"/>
  <c r="F11" i="6"/>
  <c r="B44" i="5"/>
  <c r="B31" i="1"/>
  <c r="F11" i="1"/>
  <c r="B41" i="6"/>
  <c r="B41" i="1"/>
  <c r="F21" i="2"/>
  <c r="F9" i="3"/>
  <c r="B11" i="2"/>
  <c r="F22" i="1"/>
  <c r="F17" i="3"/>
  <c r="F41" i="6"/>
  <c r="B27" i="6"/>
  <c r="B31" i="6" s="1"/>
  <c r="B31" i="2"/>
  <c r="B21" i="6"/>
  <c r="B31" i="7"/>
  <c r="B17" i="3"/>
  <c r="F27" i="6"/>
  <c r="F31" i="6" s="1"/>
  <c r="I31" i="6"/>
  <c r="B21" i="2"/>
  <c r="F33" i="1"/>
  <c r="F31" i="2"/>
  <c r="F11" i="2"/>
  <c r="F12" i="1"/>
  <c r="I7" i="6"/>
  <c r="I11" i="6" s="1"/>
  <c r="B17" i="6"/>
  <c r="F23" i="1" l="1"/>
</calcChain>
</file>

<file path=xl/sharedStrings.xml><?xml version="1.0" encoding="utf-8"?>
<sst xmlns="http://schemas.openxmlformats.org/spreadsheetml/2006/main" count="303" uniqueCount="53">
  <si>
    <t>Valuation</t>
  </si>
  <si>
    <t>Building Permit Fee</t>
  </si>
  <si>
    <t>Plan Review Fee</t>
  </si>
  <si>
    <t>MN Surcharge</t>
  </si>
  <si>
    <t>Zoning Fee</t>
  </si>
  <si>
    <t>Total Fee</t>
  </si>
  <si>
    <t>500-2000</t>
  </si>
  <si>
    <t xml:space="preserve"> 2001 - 25,000</t>
  </si>
  <si>
    <t xml:space="preserve"> 25001 - 50000</t>
  </si>
  <si>
    <t>50001 - 100000</t>
  </si>
  <si>
    <t>100,000 - 500,000</t>
  </si>
  <si>
    <t>500,000 - 1,000,000</t>
  </si>
  <si>
    <t>PIF Fee</t>
  </si>
  <si>
    <t>W/O Pif Fee</t>
  </si>
  <si>
    <t>SIGN</t>
  </si>
  <si>
    <t>NEW RESIDENTIAL</t>
  </si>
  <si>
    <t>ALTERATIONS</t>
  </si>
  <si>
    <t>&lt; 500</t>
  </si>
  <si>
    <t>Valutation</t>
  </si>
  <si>
    <t>Mn Surcharge</t>
  </si>
  <si>
    <t>500 - 2000</t>
  </si>
  <si>
    <t>&lt;500</t>
  </si>
  <si>
    <t>With PIF Fee Total</t>
  </si>
  <si>
    <t>With Pif Fee Total</t>
  </si>
  <si>
    <t>DEMOLITION</t>
  </si>
  <si>
    <t>1,000,000 - 2,000,000</t>
  </si>
  <si>
    <t>2,000,000 - 3,000,000</t>
  </si>
  <si>
    <t>3,000,000 - 4,000,000</t>
  </si>
  <si>
    <t>4,000,000 - 5,000,000</t>
  </si>
  <si>
    <t>GREATER THAN 5,000,000</t>
  </si>
  <si>
    <t>TOTAL FEE</t>
  </si>
  <si>
    <t xml:space="preserve">COMMERCIAL </t>
  </si>
  <si>
    <t>25001 - 50000</t>
  </si>
  <si>
    <t>Manufactured Home Installation</t>
  </si>
  <si>
    <r>
      <t xml:space="preserve">(Does </t>
    </r>
    <r>
      <rPr>
        <u/>
        <sz val="10"/>
        <color indexed="10"/>
        <rFont val="Arial"/>
        <family val="2"/>
      </rPr>
      <t>not</t>
    </r>
    <r>
      <rPr>
        <sz val="10"/>
        <color indexed="10"/>
        <rFont val="Arial"/>
        <family val="2"/>
      </rPr>
      <t xml:space="preserve"> include $5.00 Drive Approach fee)</t>
    </r>
  </si>
  <si>
    <t>100001 +</t>
  </si>
  <si>
    <t>100001 and up</t>
  </si>
  <si>
    <t>The fee calculations provided on the following sheets are estimates only. Actual fees are calculated at the time of application, and are reflected on your permit invoice.</t>
  </si>
  <si>
    <t>SFD Valuation Calculations</t>
  </si>
  <si>
    <t>Decks</t>
  </si>
  <si>
    <t>Detach Garage</t>
  </si>
  <si>
    <t>Basement Finish</t>
  </si>
  <si>
    <t>Finished main/upper level</t>
  </si>
  <si>
    <t>Length</t>
  </si>
  <si>
    <t>Square Feet</t>
  </si>
  <si>
    <t>Finished Basement</t>
  </si>
  <si>
    <t>Width</t>
  </si>
  <si>
    <t>Unfinished Basement</t>
  </si>
  <si>
    <t>Attached Garage</t>
  </si>
  <si>
    <t>Covered Porch</t>
  </si>
  <si>
    <t>Deck</t>
  </si>
  <si>
    <t>Total Valuation</t>
  </si>
  <si>
    <t>In square feet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</si>
</sst>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13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u/>
      <sz val="10"/>
      <color indexed="10"/>
      <name val="Arial"/>
      <family val="2"/>
    </font>
    <font>
      <sz val="10"/>
      <name val="Arial"/>
      <family val="2"/>
    </font>
    <font>
      <sz val="14"/>
      <name val="Arial"/>
      <family val="2"/>
    </font>
    <font>
      <b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7">
    <xf numFmtId="0" fontId="0" fillId="0" borderId="0" xfId="0"/>
    <xf numFmtId="0" fontId="3" fillId="0" borderId="0" xfId="0" applyFont="1"/>
    <xf numFmtId="0" fontId="4" fillId="0" borderId="0" xfId="0" applyFont="1"/>
    <xf numFmtId="164" fontId="3" fillId="0" borderId="0" xfId="0" applyNumberFormat="1" applyFont="1"/>
    <xf numFmtId="164" fontId="0" fillId="0" borderId="0" xfId="0" applyNumberFormat="1"/>
    <xf numFmtId="164" fontId="0" fillId="0" borderId="0" xfId="0" applyNumberFormat="1" applyProtection="1">
      <protection locked="0"/>
    </xf>
    <xf numFmtId="0" fontId="0" fillId="0" borderId="0" xfId="0" applyProtection="1">
      <protection locked="0"/>
    </xf>
    <xf numFmtId="164" fontId="5" fillId="0" borderId="0" xfId="0" applyNumberFormat="1" applyFont="1"/>
    <xf numFmtId="0" fontId="6" fillId="0" borderId="0" xfId="0" applyFont="1"/>
    <xf numFmtId="164" fontId="7" fillId="0" borderId="0" xfId="0" applyNumberFormat="1" applyFont="1"/>
    <xf numFmtId="0" fontId="8" fillId="0" borderId="0" xfId="0" applyFont="1"/>
    <xf numFmtId="3" fontId="4" fillId="0" borderId="0" xfId="0" applyNumberFormat="1" applyFont="1"/>
    <xf numFmtId="17" fontId="0" fillId="0" borderId="0" xfId="0" applyNumberFormat="1"/>
    <xf numFmtId="44" fontId="10" fillId="0" borderId="0" xfId="1" applyFont="1" applyAlignment="1">
      <alignment horizontal="right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12" fillId="0" borderId="0" xfId="0" applyFont="1"/>
    <xf numFmtId="0" fontId="1" fillId="0" borderId="0" xfId="0" applyFont="1" applyAlignment="1">
      <alignment horizontal="right"/>
    </xf>
    <xf numFmtId="0" fontId="11" fillId="2" borderId="1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133350</xdr:colOff>
      <xdr:row>11</xdr:row>
      <xdr:rowOff>76200</xdr:rowOff>
    </xdr:from>
    <xdr:to>
      <xdr:col>6</xdr:col>
      <xdr:colOff>485775</xdr:colOff>
      <xdr:row>11</xdr:row>
      <xdr:rowOff>76200</xdr:rowOff>
    </xdr:to>
    <xdr:sp macro="" textlink="">
      <xdr:nvSpPr>
        <xdr:cNvPr id="1424" name="Line 1">
          <a:extLst>
            <a:ext uri="{FF2B5EF4-FFF2-40B4-BE49-F238E27FC236}">
              <a16:creationId xmlns:a16="http://schemas.microsoft.com/office/drawing/2014/main" id="{00000000-0008-0000-0000-000090050000}"/>
            </a:ext>
          </a:extLst>
        </xdr:cNvPr>
        <xdr:cNvSpPr>
          <a:spLocks noChangeShapeType="1"/>
        </xdr:cNvSpPr>
      </xdr:nvSpPr>
      <xdr:spPr bwMode="auto">
        <a:xfrm>
          <a:off x="5695950" y="1933575"/>
          <a:ext cx="3524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123825</xdr:colOff>
      <xdr:row>22</xdr:row>
      <xdr:rowOff>95250</xdr:rowOff>
    </xdr:from>
    <xdr:to>
      <xdr:col>6</xdr:col>
      <xdr:colOff>504825</xdr:colOff>
      <xdr:row>22</xdr:row>
      <xdr:rowOff>95250</xdr:rowOff>
    </xdr:to>
    <xdr:sp macro="" textlink="">
      <xdr:nvSpPr>
        <xdr:cNvPr id="1425" name="Line 2">
          <a:extLst>
            <a:ext uri="{FF2B5EF4-FFF2-40B4-BE49-F238E27FC236}">
              <a16:creationId xmlns:a16="http://schemas.microsoft.com/office/drawing/2014/main" id="{00000000-0008-0000-0000-000091050000}"/>
            </a:ext>
          </a:extLst>
        </xdr:cNvPr>
        <xdr:cNvSpPr>
          <a:spLocks noChangeShapeType="1"/>
        </xdr:cNvSpPr>
      </xdr:nvSpPr>
      <xdr:spPr bwMode="auto">
        <a:xfrm>
          <a:off x="5686425" y="3810000"/>
          <a:ext cx="3810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123825</xdr:colOff>
      <xdr:row>32</xdr:row>
      <xdr:rowOff>95250</xdr:rowOff>
    </xdr:from>
    <xdr:to>
      <xdr:col>6</xdr:col>
      <xdr:colOff>552450</xdr:colOff>
      <xdr:row>32</xdr:row>
      <xdr:rowOff>95250</xdr:rowOff>
    </xdr:to>
    <xdr:sp macro="" textlink="">
      <xdr:nvSpPr>
        <xdr:cNvPr id="1426" name="Line 3">
          <a:extLst>
            <a:ext uri="{FF2B5EF4-FFF2-40B4-BE49-F238E27FC236}">
              <a16:creationId xmlns:a16="http://schemas.microsoft.com/office/drawing/2014/main" id="{00000000-0008-0000-0000-000092050000}"/>
            </a:ext>
          </a:extLst>
        </xdr:cNvPr>
        <xdr:cNvSpPr>
          <a:spLocks noChangeShapeType="1"/>
        </xdr:cNvSpPr>
      </xdr:nvSpPr>
      <xdr:spPr bwMode="auto">
        <a:xfrm>
          <a:off x="5686425" y="5505450"/>
          <a:ext cx="4286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17"/>
  <sheetViews>
    <sheetView tabSelected="1" workbookViewId="0">
      <selection sqref="A1:E9"/>
    </sheetView>
  </sheetViews>
  <sheetFormatPr defaultRowHeight="12.5" x14ac:dyDescent="0.25"/>
  <sheetData>
    <row r="1" spans="1:7" ht="12.75" customHeight="1" x14ac:dyDescent="0.25">
      <c r="A1" s="18" t="s">
        <v>37</v>
      </c>
      <c r="B1" s="19"/>
      <c r="C1" s="19"/>
      <c r="D1" s="19"/>
      <c r="E1" s="20"/>
      <c r="F1" s="15"/>
      <c r="G1" s="15"/>
    </row>
    <row r="2" spans="1:7" x14ac:dyDescent="0.25">
      <c r="A2" s="21"/>
      <c r="B2" s="22"/>
      <c r="C2" s="22"/>
      <c r="D2" s="22"/>
      <c r="E2" s="23"/>
      <c r="F2" s="15"/>
      <c r="G2" s="15"/>
    </row>
    <row r="3" spans="1:7" x14ac:dyDescent="0.25">
      <c r="A3" s="21"/>
      <c r="B3" s="22"/>
      <c r="C3" s="22"/>
      <c r="D3" s="22"/>
      <c r="E3" s="23"/>
      <c r="F3" s="15"/>
      <c r="G3" s="15"/>
    </row>
    <row r="4" spans="1:7" x14ac:dyDescent="0.25">
      <c r="A4" s="21"/>
      <c r="B4" s="22"/>
      <c r="C4" s="22"/>
      <c r="D4" s="22"/>
      <c r="E4" s="23"/>
      <c r="F4" s="15"/>
      <c r="G4" s="15"/>
    </row>
    <row r="5" spans="1:7" x14ac:dyDescent="0.25">
      <c r="A5" s="21"/>
      <c r="B5" s="22"/>
      <c r="C5" s="22"/>
      <c r="D5" s="22"/>
      <c r="E5" s="23"/>
      <c r="F5" s="15"/>
      <c r="G5" s="14"/>
    </row>
    <row r="6" spans="1:7" x14ac:dyDescent="0.25">
      <c r="A6" s="21"/>
      <c r="B6" s="22"/>
      <c r="C6" s="22"/>
      <c r="D6" s="22"/>
      <c r="E6" s="23"/>
      <c r="F6" s="15"/>
      <c r="G6" s="15"/>
    </row>
    <row r="7" spans="1:7" x14ac:dyDescent="0.25">
      <c r="A7" s="21"/>
      <c r="B7" s="22"/>
      <c r="C7" s="22"/>
      <c r="D7" s="22"/>
      <c r="E7" s="23"/>
      <c r="F7" s="15"/>
      <c r="G7" s="15"/>
    </row>
    <row r="8" spans="1:7" x14ac:dyDescent="0.25">
      <c r="A8" s="21"/>
      <c r="B8" s="22"/>
      <c r="C8" s="22"/>
      <c r="D8" s="22"/>
      <c r="E8" s="23"/>
      <c r="F8" s="15"/>
      <c r="G8" s="15"/>
    </row>
    <row r="9" spans="1:7" ht="13" thickBot="1" x14ac:dyDescent="0.3">
      <c r="A9" s="24"/>
      <c r="B9" s="25"/>
      <c r="C9" s="25"/>
      <c r="D9" s="25"/>
      <c r="E9" s="26"/>
      <c r="F9" s="15"/>
      <c r="G9" s="15"/>
    </row>
    <row r="10" spans="1:7" x14ac:dyDescent="0.25">
      <c r="A10" s="15"/>
      <c r="B10" s="15"/>
      <c r="C10" s="15"/>
      <c r="D10" s="15"/>
      <c r="E10" s="15"/>
      <c r="F10" s="15"/>
      <c r="G10" s="15"/>
    </row>
    <row r="11" spans="1:7" x14ac:dyDescent="0.25">
      <c r="A11" s="15"/>
      <c r="B11" s="15"/>
      <c r="C11" s="15"/>
      <c r="D11" s="15"/>
      <c r="E11" s="15"/>
      <c r="F11" s="15"/>
      <c r="G11" s="15"/>
    </row>
    <row r="12" spans="1:7" x14ac:dyDescent="0.25">
      <c r="A12" s="15"/>
      <c r="B12" s="15"/>
      <c r="C12" s="15"/>
      <c r="D12" s="15"/>
      <c r="E12" s="15"/>
      <c r="F12" s="15"/>
      <c r="G12" s="15"/>
    </row>
    <row r="13" spans="1:7" x14ac:dyDescent="0.25">
      <c r="A13" s="15"/>
      <c r="B13" s="15"/>
      <c r="C13" s="15"/>
      <c r="D13" s="15"/>
      <c r="E13" s="15"/>
      <c r="F13" s="15"/>
      <c r="G13" s="15"/>
    </row>
    <row r="14" spans="1:7" x14ac:dyDescent="0.25">
      <c r="A14" s="15"/>
      <c r="B14" s="15"/>
      <c r="C14" s="15"/>
      <c r="D14" s="15"/>
      <c r="E14" s="15"/>
      <c r="F14" s="15"/>
      <c r="G14" s="15"/>
    </row>
    <row r="15" spans="1:7" x14ac:dyDescent="0.25">
      <c r="A15" s="15"/>
      <c r="B15" s="15"/>
      <c r="C15" s="15"/>
      <c r="D15" s="15"/>
      <c r="E15" s="15"/>
      <c r="F15" s="15"/>
      <c r="G15" s="15"/>
    </row>
    <row r="16" spans="1:7" x14ac:dyDescent="0.25">
      <c r="A16" s="15"/>
      <c r="B16" s="15"/>
      <c r="C16" s="15"/>
      <c r="D16" s="15"/>
      <c r="E16" s="15"/>
      <c r="F16" s="15"/>
      <c r="G16" s="15"/>
    </row>
    <row r="17" spans="1:7" x14ac:dyDescent="0.25">
      <c r="A17" s="15"/>
      <c r="B17" s="15"/>
      <c r="C17" s="15"/>
      <c r="D17" s="15"/>
      <c r="E17" s="15"/>
      <c r="F17" s="15"/>
      <c r="G17" s="15"/>
    </row>
  </sheetData>
  <sheetProtection sheet="1" objects="1" scenarios="1"/>
  <protectedRanges>
    <protectedRange sqref="G5" name="Range1"/>
  </protectedRanges>
  <mergeCells count="1">
    <mergeCell ref="A1:E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3"/>
  <sheetViews>
    <sheetView workbookViewId="0">
      <selection activeCell="B5" sqref="B5"/>
    </sheetView>
  </sheetViews>
  <sheetFormatPr defaultRowHeight="12.5" x14ac:dyDescent="0.25"/>
  <cols>
    <col min="1" max="1" width="18.26953125" customWidth="1"/>
    <col min="2" max="2" width="12.7265625" bestFit="1" customWidth="1"/>
    <col min="5" max="5" width="23.26953125" customWidth="1"/>
    <col min="6" max="6" width="10.81640625" customWidth="1"/>
  </cols>
  <sheetData>
    <row r="1" spans="1:8" ht="15.5" x14ac:dyDescent="0.35">
      <c r="A1" s="2" t="s">
        <v>15</v>
      </c>
      <c r="C1" s="12">
        <v>46045</v>
      </c>
    </row>
    <row r="3" spans="1:8" ht="15.5" x14ac:dyDescent="0.35">
      <c r="A3" s="2" t="s">
        <v>17</v>
      </c>
      <c r="E3" s="2" t="s">
        <v>9</v>
      </c>
      <c r="F3" s="5"/>
    </row>
    <row r="4" spans="1:8" x14ac:dyDescent="0.25">
      <c r="F4" s="4"/>
    </row>
    <row r="5" spans="1:8" x14ac:dyDescent="0.25">
      <c r="A5" t="s">
        <v>18</v>
      </c>
      <c r="B5" s="5">
        <v>450</v>
      </c>
      <c r="E5" t="s">
        <v>0</v>
      </c>
      <c r="F5" s="5">
        <v>75000</v>
      </c>
    </row>
    <row r="6" spans="1:8" x14ac:dyDescent="0.25">
      <c r="A6" t="s">
        <v>1</v>
      </c>
      <c r="B6" s="4">
        <v>25</v>
      </c>
      <c r="E6" t="s">
        <v>1</v>
      </c>
      <c r="F6" s="4">
        <f>424.5+ROUNDUP((F5-50000),-3)/1000*4.5</f>
        <v>537</v>
      </c>
    </row>
    <row r="7" spans="1:8" x14ac:dyDescent="0.25">
      <c r="A7" t="s">
        <v>2</v>
      </c>
      <c r="B7" s="4">
        <f>B6*0.35</f>
        <v>8.75</v>
      </c>
      <c r="E7" t="s">
        <v>2</v>
      </c>
      <c r="F7" s="4">
        <f>F6*0.35</f>
        <v>187.95</v>
      </c>
    </row>
    <row r="8" spans="1:8" x14ac:dyDescent="0.25">
      <c r="A8" t="s">
        <v>19</v>
      </c>
      <c r="B8" s="4">
        <f>B5*0.0005</f>
        <v>0.22500000000000001</v>
      </c>
      <c r="E8" t="s">
        <v>3</v>
      </c>
      <c r="F8" s="4">
        <f>F5*0.0005</f>
        <v>37.5</v>
      </c>
    </row>
    <row r="9" spans="1:8" x14ac:dyDescent="0.25">
      <c r="A9" t="s">
        <v>4</v>
      </c>
      <c r="B9" s="4">
        <v>31.5</v>
      </c>
      <c r="E9" t="s">
        <v>4</v>
      </c>
      <c r="F9" s="4">
        <f>204.96+(ROUNDUP(F5-50000,-3)/1000)*0.84</f>
        <v>225.96</v>
      </c>
    </row>
    <row r="10" spans="1:8" x14ac:dyDescent="0.25">
      <c r="B10" s="4"/>
      <c r="E10" t="s">
        <v>12</v>
      </c>
      <c r="F10" s="4">
        <v>4350</v>
      </c>
    </row>
    <row r="11" spans="1:8" ht="13" x14ac:dyDescent="0.3">
      <c r="A11" s="1" t="s">
        <v>5</v>
      </c>
      <c r="B11" s="9">
        <f>B6+B7+B8+B9</f>
        <v>65.474999999999994</v>
      </c>
      <c r="E11" s="1" t="s">
        <v>13</v>
      </c>
      <c r="F11" s="9">
        <f>F6+F7+F8+F9</f>
        <v>988.41000000000008</v>
      </c>
      <c r="H11" s="8"/>
    </row>
    <row r="12" spans="1:8" ht="13" x14ac:dyDescent="0.3">
      <c r="E12" s="1" t="s">
        <v>23</v>
      </c>
      <c r="F12" s="9">
        <f>F6+F7+F8+F9+F10</f>
        <v>5338.41</v>
      </c>
      <c r="H12" s="10" t="s">
        <v>34</v>
      </c>
    </row>
    <row r="13" spans="1:8" ht="15.5" x14ac:dyDescent="0.35">
      <c r="A13" s="2" t="s">
        <v>20</v>
      </c>
    </row>
    <row r="14" spans="1:8" ht="15.5" x14ac:dyDescent="0.35">
      <c r="E14" s="2" t="s">
        <v>10</v>
      </c>
    </row>
    <row r="15" spans="1:8" x14ac:dyDescent="0.25">
      <c r="A15" t="s">
        <v>0</v>
      </c>
      <c r="B15" s="5">
        <v>1000</v>
      </c>
    </row>
    <row r="16" spans="1:8" x14ac:dyDescent="0.25">
      <c r="A16" t="s">
        <v>1</v>
      </c>
      <c r="B16" s="4">
        <f>25+ROUNDUP((B15-500),-2)/100*2</f>
        <v>35</v>
      </c>
      <c r="E16" t="s">
        <v>0</v>
      </c>
      <c r="F16" s="5">
        <v>250000</v>
      </c>
    </row>
    <row r="17" spans="1:8" x14ac:dyDescent="0.25">
      <c r="A17" t="s">
        <v>2</v>
      </c>
      <c r="B17" s="4">
        <f>B16*0.35</f>
        <v>12.25</v>
      </c>
      <c r="E17" t="s">
        <v>1</v>
      </c>
      <c r="F17" s="4">
        <f>649.5+ROUNDUP((F16-100000),-3)/1000*3.5</f>
        <v>1174.5</v>
      </c>
    </row>
    <row r="18" spans="1:8" x14ac:dyDescent="0.25">
      <c r="A18" t="s">
        <v>3</v>
      </c>
      <c r="B18" s="4">
        <f>B15*0.0005</f>
        <v>0.5</v>
      </c>
      <c r="E18" t="s">
        <v>2</v>
      </c>
      <c r="F18" s="4">
        <f>F17*0.35</f>
        <v>411.07499999999999</v>
      </c>
    </row>
    <row r="19" spans="1:8" x14ac:dyDescent="0.25">
      <c r="A19" t="s">
        <v>4</v>
      </c>
      <c r="B19" s="4">
        <f>31.5+(ROUNDUP(B15-500,-2)/100)*1.89</f>
        <v>40.950000000000003</v>
      </c>
      <c r="E19" t="s">
        <v>3</v>
      </c>
      <c r="F19" s="4">
        <f>F16*0.0005</f>
        <v>125</v>
      </c>
    </row>
    <row r="20" spans="1:8" x14ac:dyDescent="0.25">
      <c r="B20" s="4"/>
      <c r="E20" t="s">
        <v>4</v>
      </c>
      <c r="F20" s="4">
        <f>246.96+(ROUNDUP(F16-100000,-3)/1000)*0.25</f>
        <v>284.46000000000004</v>
      </c>
    </row>
    <row r="21" spans="1:8" ht="13" x14ac:dyDescent="0.3">
      <c r="A21" s="1" t="s">
        <v>5</v>
      </c>
      <c r="B21" s="9">
        <f>B16+B17+B18+B19</f>
        <v>88.7</v>
      </c>
      <c r="E21" t="s">
        <v>12</v>
      </c>
      <c r="F21" s="4">
        <v>4350</v>
      </c>
    </row>
    <row r="22" spans="1:8" ht="13" x14ac:dyDescent="0.3">
      <c r="B22" s="4"/>
      <c r="E22" s="1" t="s">
        <v>13</v>
      </c>
      <c r="F22" s="9">
        <f>F17+F18+F19+F20</f>
        <v>1995.0350000000001</v>
      </c>
    </row>
    <row r="23" spans="1:8" ht="15.5" x14ac:dyDescent="0.35">
      <c r="A23" s="2" t="s">
        <v>7</v>
      </c>
      <c r="B23" s="4"/>
      <c r="E23" s="1" t="s">
        <v>22</v>
      </c>
      <c r="F23" s="9">
        <f>F17+F18+F19+F20+F21</f>
        <v>6345.0349999999999</v>
      </c>
      <c r="H23" s="10" t="s">
        <v>34</v>
      </c>
    </row>
    <row r="24" spans="1:8" x14ac:dyDescent="0.25">
      <c r="B24" s="4"/>
    </row>
    <row r="25" spans="1:8" ht="15.5" x14ac:dyDescent="0.35">
      <c r="A25" t="s">
        <v>0</v>
      </c>
      <c r="B25" s="5">
        <v>10000</v>
      </c>
      <c r="E25" s="2" t="s">
        <v>11</v>
      </c>
    </row>
    <row r="26" spans="1:8" x14ac:dyDescent="0.25">
      <c r="A26" t="s">
        <v>1</v>
      </c>
      <c r="B26" s="4">
        <f>55+ROUNDUP((B25-2000),-3)/1000*9</f>
        <v>127</v>
      </c>
    </row>
    <row r="27" spans="1:8" x14ac:dyDescent="0.25">
      <c r="A27" t="s">
        <v>2</v>
      </c>
      <c r="B27" s="4">
        <f>B26*0.35</f>
        <v>44.449999999999996</v>
      </c>
      <c r="E27" t="s">
        <v>0</v>
      </c>
      <c r="F27" s="5">
        <v>750000</v>
      </c>
    </row>
    <row r="28" spans="1:8" x14ac:dyDescent="0.25">
      <c r="A28" t="s">
        <v>3</v>
      </c>
      <c r="B28" s="4">
        <f>B25*0.0005</f>
        <v>5</v>
      </c>
      <c r="E28" t="s">
        <v>1</v>
      </c>
      <c r="F28" s="4">
        <f>2049.5+ROUNDUP((F27-500000),-3)/1000*3</f>
        <v>2799.5</v>
      </c>
    </row>
    <row r="29" spans="1:8" x14ac:dyDescent="0.25">
      <c r="A29" t="s">
        <v>4</v>
      </c>
      <c r="B29" s="4">
        <f>59.85+(ROUNDUP(B25-2000,-3)/1000)*3.57</f>
        <v>88.41</v>
      </c>
      <c r="E29" t="s">
        <v>2</v>
      </c>
      <c r="F29" s="4">
        <f>F28*0.35</f>
        <v>979.82499999999993</v>
      </c>
    </row>
    <row r="30" spans="1:8" x14ac:dyDescent="0.25">
      <c r="B30" s="4"/>
      <c r="E30" t="s">
        <v>3</v>
      </c>
      <c r="F30" s="4">
        <f>F27*0.0005</f>
        <v>375</v>
      </c>
    </row>
    <row r="31" spans="1:8" ht="13" x14ac:dyDescent="0.3">
      <c r="A31" s="1" t="s">
        <v>5</v>
      </c>
      <c r="B31" s="9">
        <f>B26+B27+B28+B29</f>
        <v>264.86</v>
      </c>
      <c r="E31" t="s">
        <v>4</v>
      </c>
      <c r="F31" s="4">
        <f>246.96+(ROUNDUP(F27-100000,-3)/1000)*0.25</f>
        <v>409.46000000000004</v>
      </c>
    </row>
    <row r="32" spans="1:8" x14ac:dyDescent="0.25">
      <c r="B32" s="4"/>
      <c r="E32" t="s">
        <v>12</v>
      </c>
      <c r="F32" s="4">
        <v>4350</v>
      </c>
    </row>
    <row r="33" spans="1:8" ht="15.5" x14ac:dyDescent="0.35">
      <c r="A33" s="2" t="s">
        <v>8</v>
      </c>
      <c r="B33" s="4"/>
      <c r="E33" s="1" t="s">
        <v>5</v>
      </c>
      <c r="F33" s="9">
        <f>F28+F29+F30+F31+F32</f>
        <v>8913.7849999999999</v>
      </c>
      <c r="H33" s="10" t="s">
        <v>34</v>
      </c>
    </row>
    <row r="34" spans="1:8" x14ac:dyDescent="0.25">
      <c r="B34" s="4"/>
    </row>
    <row r="35" spans="1:8" x14ac:dyDescent="0.25">
      <c r="A35" t="s">
        <v>0</v>
      </c>
      <c r="B35" s="5">
        <v>30000</v>
      </c>
    </row>
    <row r="36" spans="1:8" x14ac:dyDescent="0.25">
      <c r="A36" t="s">
        <v>1</v>
      </c>
      <c r="B36" s="4">
        <f>262+ROUNDUP((B35-25000),-3)/1000*6.5</f>
        <v>294.5</v>
      </c>
    </row>
    <row r="37" spans="1:8" x14ac:dyDescent="0.25">
      <c r="A37" t="s">
        <v>2</v>
      </c>
      <c r="B37" s="4">
        <f>B36*0.35</f>
        <v>103.07499999999999</v>
      </c>
    </row>
    <row r="38" spans="1:8" x14ac:dyDescent="0.25">
      <c r="A38" t="s">
        <v>3</v>
      </c>
      <c r="B38" s="4">
        <f>B35*0.0005</f>
        <v>15</v>
      </c>
    </row>
    <row r="39" spans="1:8" x14ac:dyDescent="0.25">
      <c r="A39" t="s">
        <v>4</v>
      </c>
      <c r="B39" s="4">
        <f>141.96+(ROUNDUP(B35-25000,-3)/1000)*2.52</f>
        <v>154.56</v>
      </c>
    </row>
    <row r="40" spans="1:8" x14ac:dyDescent="0.25">
      <c r="B40" s="4"/>
    </row>
    <row r="41" spans="1:8" ht="13" x14ac:dyDescent="0.3">
      <c r="A41" s="1" t="s">
        <v>5</v>
      </c>
      <c r="B41" s="9">
        <f>B36+B37+B38+B39</f>
        <v>567.13499999999999</v>
      </c>
    </row>
    <row r="43" spans="1:8" ht="15.5" x14ac:dyDescent="0.35">
      <c r="A43" s="2"/>
    </row>
  </sheetData>
  <sheetProtection sheet="1" objects="1" scenarios="1"/>
  <protectedRanges>
    <protectedRange sqref="B5 B15 B25 B35 F5 F16 F27" name="Range1"/>
  </protectedRanges>
  <phoneticPr fontId="2" type="noConversion"/>
  <pageMargins left="0.75" right="0.75" top="1" bottom="1" header="0.5" footer="0.5"/>
  <pageSetup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1"/>
  <sheetViews>
    <sheetView workbookViewId="0">
      <selection activeCell="B7" sqref="B7"/>
    </sheetView>
  </sheetViews>
  <sheetFormatPr defaultRowHeight="12.5" x14ac:dyDescent="0.25"/>
  <cols>
    <col min="1" max="1" width="17.54296875" customWidth="1"/>
    <col min="2" max="2" width="12.54296875" customWidth="1"/>
    <col min="5" max="5" width="18.7265625" customWidth="1"/>
    <col min="6" max="6" width="13.26953125" customWidth="1"/>
  </cols>
  <sheetData>
    <row r="1" spans="1:6" ht="15.5" x14ac:dyDescent="0.35">
      <c r="A1" s="2" t="s">
        <v>16</v>
      </c>
    </row>
    <row r="3" spans="1:6" ht="15.5" x14ac:dyDescent="0.35">
      <c r="A3" s="2" t="s">
        <v>17</v>
      </c>
      <c r="E3" s="2" t="s">
        <v>9</v>
      </c>
      <c r="F3" s="5"/>
    </row>
    <row r="4" spans="1:6" x14ac:dyDescent="0.25">
      <c r="F4" s="4"/>
    </row>
    <row r="5" spans="1:6" x14ac:dyDescent="0.25">
      <c r="A5" t="s">
        <v>18</v>
      </c>
      <c r="B5" s="5">
        <v>250</v>
      </c>
      <c r="E5" t="s">
        <v>0</v>
      </c>
      <c r="F5" s="5">
        <v>46000</v>
      </c>
    </row>
    <row r="6" spans="1:6" x14ac:dyDescent="0.25">
      <c r="A6" t="s">
        <v>1</v>
      </c>
      <c r="B6" s="4">
        <v>25</v>
      </c>
      <c r="E6" t="s">
        <v>1</v>
      </c>
      <c r="F6" s="4">
        <f>424.5+ROUNDUP((F5-50000),-3)/1000*4.5</f>
        <v>406.5</v>
      </c>
    </row>
    <row r="7" spans="1:6" x14ac:dyDescent="0.25">
      <c r="A7" t="s">
        <v>2</v>
      </c>
      <c r="B7" s="4">
        <f>B6*0.35</f>
        <v>8.75</v>
      </c>
      <c r="E7" t="s">
        <v>2</v>
      </c>
      <c r="F7" s="4">
        <f>F6*0.35</f>
        <v>142.27499999999998</v>
      </c>
    </row>
    <row r="8" spans="1:6" x14ac:dyDescent="0.25">
      <c r="A8" t="s">
        <v>19</v>
      </c>
      <c r="B8" s="4">
        <f>B5*0.0005</f>
        <v>0.125</v>
      </c>
      <c r="E8" t="s">
        <v>3</v>
      </c>
      <c r="F8" s="4">
        <f>F5*0.0005</f>
        <v>23</v>
      </c>
    </row>
    <row r="9" spans="1:6" x14ac:dyDescent="0.25">
      <c r="A9" t="s">
        <v>4</v>
      </c>
      <c r="B9" s="4">
        <v>31.5</v>
      </c>
      <c r="E9" t="s">
        <v>4</v>
      </c>
      <c r="F9" s="4">
        <v>31.5</v>
      </c>
    </row>
    <row r="10" spans="1:6" x14ac:dyDescent="0.25">
      <c r="B10" s="4"/>
      <c r="F10" s="4"/>
    </row>
    <row r="11" spans="1:6" ht="13" x14ac:dyDescent="0.3">
      <c r="A11" s="1" t="s">
        <v>5</v>
      </c>
      <c r="B11" s="7">
        <f>B6+B7+B8+B9</f>
        <v>65.375</v>
      </c>
      <c r="E11" s="1" t="s">
        <v>5</v>
      </c>
      <c r="F11" s="7">
        <f>F6+F7+F8+F9</f>
        <v>603.27499999999998</v>
      </c>
    </row>
    <row r="12" spans="1:6" ht="13" x14ac:dyDescent="0.3">
      <c r="E12" s="1"/>
      <c r="F12" s="3"/>
    </row>
    <row r="13" spans="1:6" ht="15.5" x14ac:dyDescent="0.35">
      <c r="A13" s="2" t="s">
        <v>6</v>
      </c>
      <c r="E13" s="2" t="s">
        <v>10</v>
      </c>
    </row>
    <row r="15" spans="1:6" x14ac:dyDescent="0.25">
      <c r="A15" t="s">
        <v>0</v>
      </c>
      <c r="B15" s="5">
        <v>1000</v>
      </c>
      <c r="E15" t="s">
        <v>0</v>
      </c>
      <c r="F15" s="5">
        <v>127780</v>
      </c>
    </row>
    <row r="16" spans="1:6" x14ac:dyDescent="0.25">
      <c r="A16" t="s">
        <v>1</v>
      </c>
      <c r="B16" s="4">
        <f>25+ROUNDUP((B15-500),-2)/100*2</f>
        <v>35</v>
      </c>
      <c r="E16" t="s">
        <v>1</v>
      </c>
      <c r="F16" s="4">
        <f>649.5+ROUNDUP((F15-100000),-3)/1000*3.5</f>
        <v>747.5</v>
      </c>
    </row>
    <row r="17" spans="1:6" x14ac:dyDescent="0.25">
      <c r="A17" t="s">
        <v>2</v>
      </c>
      <c r="B17" s="4">
        <f>B16*0.35</f>
        <v>12.25</v>
      </c>
      <c r="E17" t="s">
        <v>2</v>
      </c>
      <c r="F17" s="4">
        <f>F16*0.35</f>
        <v>261.625</v>
      </c>
    </row>
    <row r="18" spans="1:6" x14ac:dyDescent="0.25">
      <c r="A18" t="s">
        <v>3</v>
      </c>
      <c r="B18" s="4">
        <f>B15*0.0005</f>
        <v>0.5</v>
      </c>
      <c r="E18" t="s">
        <v>3</v>
      </c>
      <c r="F18" s="4">
        <f>F15*0.0005</f>
        <v>63.89</v>
      </c>
    </row>
    <row r="19" spans="1:6" x14ac:dyDescent="0.25">
      <c r="A19" t="s">
        <v>4</v>
      </c>
      <c r="B19" s="4">
        <v>31.5</v>
      </c>
      <c r="E19" t="s">
        <v>4</v>
      </c>
      <c r="F19" s="4">
        <v>31.5</v>
      </c>
    </row>
    <row r="20" spans="1:6" x14ac:dyDescent="0.25">
      <c r="B20" s="4"/>
      <c r="F20" s="4"/>
    </row>
    <row r="21" spans="1:6" ht="13" x14ac:dyDescent="0.3">
      <c r="A21" s="1" t="s">
        <v>5</v>
      </c>
      <c r="B21" s="7">
        <f>B16+B17+B18+B19</f>
        <v>79.25</v>
      </c>
      <c r="E21" s="1" t="s">
        <v>5</v>
      </c>
      <c r="F21" s="7">
        <f>F16+F17+F18+F19+F20</f>
        <v>1104.5150000000001</v>
      </c>
    </row>
    <row r="22" spans="1:6" x14ac:dyDescent="0.25">
      <c r="B22" s="4"/>
    </row>
    <row r="23" spans="1:6" ht="15.5" x14ac:dyDescent="0.35">
      <c r="A23" s="2" t="s">
        <v>7</v>
      </c>
      <c r="B23" s="4"/>
      <c r="E23" s="2" t="s">
        <v>11</v>
      </c>
    </row>
    <row r="24" spans="1:6" x14ac:dyDescent="0.25">
      <c r="B24" s="4"/>
    </row>
    <row r="25" spans="1:6" x14ac:dyDescent="0.25">
      <c r="A25" t="s">
        <v>0</v>
      </c>
      <c r="B25" s="13">
        <v>10000</v>
      </c>
      <c r="E25" t="s">
        <v>0</v>
      </c>
      <c r="F25" s="5">
        <v>537645</v>
      </c>
    </row>
    <row r="26" spans="1:6" x14ac:dyDescent="0.25">
      <c r="A26" t="s">
        <v>1</v>
      </c>
      <c r="B26" s="4">
        <f>55+ROUNDUP((B25-2000),-3)/1000*9</f>
        <v>127</v>
      </c>
      <c r="E26" t="s">
        <v>1</v>
      </c>
      <c r="F26" s="4">
        <f>2049.5+ROUNDUP((F25-500000),-3)/1000*3</f>
        <v>2163.5</v>
      </c>
    </row>
    <row r="27" spans="1:6" x14ac:dyDescent="0.25">
      <c r="A27" t="s">
        <v>2</v>
      </c>
      <c r="B27" s="4">
        <f>B26*0.35</f>
        <v>44.449999999999996</v>
      </c>
      <c r="E27" t="s">
        <v>2</v>
      </c>
      <c r="F27" s="4">
        <f>F26*0.35</f>
        <v>757.22499999999991</v>
      </c>
    </row>
    <row r="28" spans="1:6" x14ac:dyDescent="0.25">
      <c r="A28" t="s">
        <v>3</v>
      </c>
      <c r="B28" s="4">
        <f>B25*0.0005</f>
        <v>5</v>
      </c>
      <c r="E28" t="s">
        <v>3</v>
      </c>
      <c r="F28" s="4">
        <f>F25*0.0005</f>
        <v>268.82249999999999</v>
      </c>
    </row>
    <row r="29" spans="1:6" x14ac:dyDescent="0.25">
      <c r="A29" t="s">
        <v>4</v>
      </c>
      <c r="B29" s="4">
        <v>31.5</v>
      </c>
      <c r="E29" t="s">
        <v>4</v>
      </c>
      <c r="F29" s="4">
        <v>31.5</v>
      </c>
    </row>
    <row r="30" spans="1:6" x14ac:dyDescent="0.25">
      <c r="B30" s="4"/>
      <c r="F30" s="4"/>
    </row>
    <row r="31" spans="1:6" ht="13" x14ac:dyDescent="0.3">
      <c r="A31" s="1" t="s">
        <v>5</v>
      </c>
      <c r="B31" s="7">
        <f>B26+B27+B28+B29</f>
        <v>207.95</v>
      </c>
      <c r="E31" s="1" t="s">
        <v>5</v>
      </c>
      <c r="F31" s="7">
        <f>F26+F27+F28+F29+F30</f>
        <v>3221.0474999999997</v>
      </c>
    </row>
    <row r="32" spans="1:6" x14ac:dyDescent="0.25">
      <c r="B32" s="4"/>
    </row>
    <row r="33" spans="1:2" ht="15.5" x14ac:dyDescent="0.35">
      <c r="A33" s="2" t="s">
        <v>8</v>
      </c>
      <c r="B33" s="4"/>
    </row>
    <row r="34" spans="1:2" x14ac:dyDescent="0.25">
      <c r="B34" s="4"/>
    </row>
    <row r="35" spans="1:2" x14ac:dyDescent="0.25">
      <c r="A35" t="s">
        <v>0</v>
      </c>
      <c r="B35" s="5">
        <v>80000</v>
      </c>
    </row>
    <row r="36" spans="1:2" x14ac:dyDescent="0.25">
      <c r="A36" t="s">
        <v>1</v>
      </c>
      <c r="B36" s="4">
        <f>262+ROUNDUP((B35-25000),-3)/1000*6.5</f>
        <v>619.5</v>
      </c>
    </row>
    <row r="37" spans="1:2" x14ac:dyDescent="0.25">
      <c r="A37" t="s">
        <v>2</v>
      </c>
      <c r="B37" s="4">
        <f>B36*0.35</f>
        <v>216.82499999999999</v>
      </c>
    </row>
    <row r="38" spans="1:2" x14ac:dyDescent="0.25">
      <c r="A38" t="s">
        <v>3</v>
      </c>
      <c r="B38" s="4">
        <f>B35*0.0005</f>
        <v>40</v>
      </c>
    </row>
    <row r="39" spans="1:2" x14ac:dyDescent="0.25">
      <c r="A39" t="s">
        <v>4</v>
      </c>
      <c r="B39" s="4">
        <v>31.5</v>
      </c>
    </row>
    <row r="40" spans="1:2" x14ac:dyDescent="0.25">
      <c r="B40" s="4"/>
    </row>
    <row r="41" spans="1:2" ht="13" x14ac:dyDescent="0.3">
      <c r="A41" s="1" t="s">
        <v>5</v>
      </c>
      <c r="B41" s="7">
        <f>B36+B37+B38+B39</f>
        <v>907.82500000000005</v>
      </c>
    </row>
  </sheetData>
  <sheetProtection sheet="1" objects="1" scenarios="1"/>
  <protectedRanges>
    <protectedRange sqref="B5 B15 B25 B35 F5 F15 F25" name="Range1"/>
  </protectedRanges>
  <phoneticPr fontId="2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31"/>
  <sheetViews>
    <sheetView workbookViewId="0">
      <selection activeCell="B11" sqref="B11"/>
    </sheetView>
  </sheetViews>
  <sheetFormatPr defaultRowHeight="12.5" x14ac:dyDescent="0.25"/>
  <cols>
    <col min="1" max="1" width="18.1796875" customWidth="1"/>
    <col min="2" max="2" width="12.7265625" customWidth="1"/>
  </cols>
  <sheetData>
    <row r="1" spans="1:2" ht="15.5" x14ac:dyDescent="0.35">
      <c r="A1" s="2" t="s">
        <v>33</v>
      </c>
    </row>
    <row r="3" spans="1:2" ht="15.5" x14ac:dyDescent="0.35">
      <c r="A3" s="2" t="s">
        <v>17</v>
      </c>
    </row>
    <row r="5" spans="1:2" x14ac:dyDescent="0.25">
      <c r="A5" t="s">
        <v>18</v>
      </c>
      <c r="B5" s="5">
        <v>379</v>
      </c>
    </row>
    <row r="6" spans="1:2" x14ac:dyDescent="0.25">
      <c r="A6" t="s">
        <v>1</v>
      </c>
      <c r="B6" s="4">
        <v>25</v>
      </c>
    </row>
    <row r="7" spans="1:2" x14ac:dyDescent="0.25">
      <c r="A7" t="s">
        <v>2</v>
      </c>
      <c r="B7" s="4">
        <f>B6*0.35</f>
        <v>8.75</v>
      </c>
    </row>
    <row r="8" spans="1:2" x14ac:dyDescent="0.25">
      <c r="A8" t="s">
        <v>19</v>
      </c>
      <c r="B8" s="4">
        <f>B5*0.0005</f>
        <v>0.1895</v>
      </c>
    </row>
    <row r="9" spans="1:2" x14ac:dyDescent="0.25">
      <c r="A9" t="s">
        <v>4</v>
      </c>
      <c r="B9" s="4">
        <v>40</v>
      </c>
    </row>
    <row r="10" spans="1:2" x14ac:dyDescent="0.25">
      <c r="B10" s="4"/>
    </row>
    <row r="11" spans="1:2" ht="13" x14ac:dyDescent="0.3">
      <c r="A11" s="1" t="s">
        <v>5</v>
      </c>
      <c r="B11" s="9">
        <f>B6+B7+B8+B9</f>
        <v>73.93950000000001</v>
      </c>
    </row>
    <row r="13" spans="1:2" ht="15.5" x14ac:dyDescent="0.35">
      <c r="A13" s="2" t="s">
        <v>20</v>
      </c>
    </row>
    <row r="15" spans="1:2" x14ac:dyDescent="0.25">
      <c r="A15" t="s">
        <v>0</v>
      </c>
      <c r="B15" s="5">
        <v>2175</v>
      </c>
    </row>
    <row r="16" spans="1:2" x14ac:dyDescent="0.25">
      <c r="A16" t="s">
        <v>1</v>
      </c>
      <c r="B16" s="4">
        <f>25+ROUNDUP((B15-500),-2)/100*2</f>
        <v>59</v>
      </c>
    </row>
    <row r="17" spans="1:2" x14ac:dyDescent="0.25">
      <c r="A17" t="s">
        <v>2</v>
      </c>
      <c r="B17" s="4">
        <f>B16*0.35</f>
        <v>20.65</v>
      </c>
    </row>
    <row r="18" spans="1:2" x14ac:dyDescent="0.25">
      <c r="A18" t="s">
        <v>3</v>
      </c>
      <c r="B18" s="4">
        <f>B15*0.0005</f>
        <v>1.0875000000000001</v>
      </c>
    </row>
    <row r="19" spans="1:2" x14ac:dyDescent="0.25">
      <c r="A19" t="s">
        <v>4</v>
      </c>
      <c r="B19" s="4">
        <v>40</v>
      </c>
    </row>
    <row r="20" spans="1:2" x14ac:dyDescent="0.25">
      <c r="B20" s="4"/>
    </row>
    <row r="21" spans="1:2" ht="13" x14ac:dyDescent="0.3">
      <c r="A21" s="1" t="s">
        <v>5</v>
      </c>
      <c r="B21" s="9">
        <f>B16+B17+B18+B19</f>
        <v>120.73750000000001</v>
      </c>
    </row>
    <row r="22" spans="1:2" x14ac:dyDescent="0.25">
      <c r="B22" s="4"/>
    </row>
    <row r="23" spans="1:2" ht="15.5" x14ac:dyDescent="0.35">
      <c r="A23" s="2" t="s">
        <v>7</v>
      </c>
      <c r="B23" s="4"/>
    </row>
    <row r="24" spans="1:2" x14ac:dyDescent="0.25">
      <c r="B24" s="4"/>
    </row>
    <row r="25" spans="1:2" x14ac:dyDescent="0.25">
      <c r="A25" t="s">
        <v>0</v>
      </c>
      <c r="B25" s="5">
        <v>2175</v>
      </c>
    </row>
    <row r="26" spans="1:2" x14ac:dyDescent="0.25">
      <c r="A26" t="s">
        <v>1</v>
      </c>
      <c r="B26" s="4">
        <f>55+ROUNDUP((B25-2000),-3)/1000*9</f>
        <v>64</v>
      </c>
    </row>
    <row r="27" spans="1:2" x14ac:dyDescent="0.25">
      <c r="A27" t="s">
        <v>2</v>
      </c>
      <c r="B27" s="4">
        <f>B26*0.35</f>
        <v>22.4</v>
      </c>
    </row>
    <row r="28" spans="1:2" x14ac:dyDescent="0.25">
      <c r="A28" t="s">
        <v>3</v>
      </c>
      <c r="B28" s="4">
        <f>B25*0.0005</f>
        <v>1.0875000000000001</v>
      </c>
    </row>
    <row r="29" spans="1:2" x14ac:dyDescent="0.25">
      <c r="A29" t="s">
        <v>4</v>
      </c>
      <c r="B29" s="4">
        <v>40</v>
      </c>
    </row>
    <row r="30" spans="1:2" x14ac:dyDescent="0.25">
      <c r="B30" s="4"/>
    </row>
    <row r="31" spans="1:2" ht="13" x14ac:dyDescent="0.3">
      <c r="A31" s="1" t="s">
        <v>5</v>
      </c>
      <c r="B31" s="9">
        <f>B26+B27+B28+B29</f>
        <v>127.48750000000001</v>
      </c>
    </row>
  </sheetData>
  <sheetProtection sheet="1" objects="1" scenarios="1"/>
  <protectedRanges>
    <protectedRange sqref="B5 B15 B25" name="Range1"/>
  </protectedRanges>
  <phoneticPr fontId="2" type="noConversion"/>
  <pageMargins left="0.75" right="0.75" top="1" bottom="1" header="0.5" footer="0.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26"/>
  <sheetViews>
    <sheetView workbookViewId="0">
      <selection activeCell="B8" sqref="B8"/>
    </sheetView>
  </sheetViews>
  <sheetFormatPr defaultRowHeight="12.5" x14ac:dyDescent="0.25"/>
  <cols>
    <col min="1" max="1" width="19" customWidth="1"/>
    <col min="2" max="2" width="13.54296875" customWidth="1"/>
    <col min="5" max="5" width="18.1796875" customWidth="1"/>
    <col min="6" max="6" width="10.81640625" customWidth="1"/>
  </cols>
  <sheetData>
    <row r="1" spans="1:6" ht="15.5" x14ac:dyDescent="0.35">
      <c r="A1" s="2" t="s">
        <v>14</v>
      </c>
    </row>
    <row r="3" spans="1:6" ht="15.5" x14ac:dyDescent="0.35">
      <c r="A3" s="2" t="s">
        <v>21</v>
      </c>
      <c r="E3" s="2" t="s">
        <v>32</v>
      </c>
      <c r="F3" s="4"/>
    </row>
    <row r="4" spans="1:6" x14ac:dyDescent="0.25">
      <c r="F4" s="4"/>
    </row>
    <row r="5" spans="1:6" x14ac:dyDescent="0.25">
      <c r="A5" t="s">
        <v>0</v>
      </c>
      <c r="B5" s="5">
        <v>500</v>
      </c>
      <c r="E5" t="s">
        <v>0</v>
      </c>
      <c r="F5" s="5">
        <v>30000</v>
      </c>
    </row>
    <row r="6" spans="1:6" x14ac:dyDescent="0.25">
      <c r="A6" t="s">
        <v>1</v>
      </c>
      <c r="B6" s="4">
        <v>25</v>
      </c>
      <c r="E6" t="s">
        <v>1</v>
      </c>
      <c r="F6" s="4">
        <f>262+ROUNDUP((F5-25000),-3)/1000*6.5</f>
        <v>294.5</v>
      </c>
    </row>
    <row r="7" spans="1:6" x14ac:dyDescent="0.25">
      <c r="A7" t="s">
        <v>4</v>
      </c>
      <c r="B7" s="4">
        <v>31.5</v>
      </c>
      <c r="E7" t="s">
        <v>2</v>
      </c>
      <c r="F7" s="4">
        <f>F6*0.65</f>
        <v>191.42500000000001</v>
      </c>
    </row>
    <row r="8" spans="1:6" x14ac:dyDescent="0.25">
      <c r="A8" t="s">
        <v>2</v>
      </c>
      <c r="B8" s="4">
        <f>B6*0.65</f>
        <v>16.25</v>
      </c>
      <c r="E8" t="s">
        <v>4</v>
      </c>
      <c r="F8" s="4">
        <f>183.65+(ROUNDUP(F5-25000,-3)/1000)*2.21</f>
        <v>194.70000000000002</v>
      </c>
    </row>
    <row r="9" spans="1:6" ht="13" x14ac:dyDescent="0.3">
      <c r="A9" s="1" t="s">
        <v>5</v>
      </c>
      <c r="B9" s="7">
        <f>B6+B7+B8</f>
        <v>72.75</v>
      </c>
      <c r="E9" s="1" t="s">
        <v>5</v>
      </c>
      <c r="F9" s="7">
        <f>F6+F7+F8</f>
        <v>680.625</v>
      </c>
    </row>
    <row r="11" spans="1:6" ht="15.5" x14ac:dyDescent="0.35">
      <c r="A11" s="2" t="s">
        <v>6</v>
      </c>
      <c r="E11" s="2" t="s">
        <v>9</v>
      </c>
      <c r="F11" s="5"/>
    </row>
    <row r="12" spans="1:6" x14ac:dyDescent="0.25">
      <c r="F12" s="4"/>
    </row>
    <row r="13" spans="1:6" x14ac:dyDescent="0.25">
      <c r="A13" t="s">
        <v>0</v>
      </c>
      <c r="B13" s="5">
        <v>1304</v>
      </c>
      <c r="E13" t="s">
        <v>0</v>
      </c>
      <c r="F13" s="5">
        <v>70000</v>
      </c>
    </row>
    <row r="14" spans="1:6" x14ac:dyDescent="0.25">
      <c r="A14" t="s">
        <v>1</v>
      </c>
      <c r="B14" s="4">
        <f>25+ROUNDUP((B13-500),-2)/100*2</f>
        <v>43</v>
      </c>
      <c r="E14" t="s">
        <v>1</v>
      </c>
      <c r="F14" s="4">
        <f>424.5+ROUNDUP((F13-50000),-3)/1000*4.5</f>
        <v>514.5</v>
      </c>
    </row>
    <row r="15" spans="1:6" x14ac:dyDescent="0.25">
      <c r="A15" t="s">
        <v>2</v>
      </c>
      <c r="B15" s="4">
        <f>B14*0.65</f>
        <v>27.95</v>
      </c>
      <c r="E15" t="s">
        <v>2</v>
      </c>
      <c r="F15" s="4">
        <f>F14*0.65</f>
        <v>334.42500000000001</v>
      </c>
    </row>
    <row r="16" spans="1:6" x14ac:dyDescent="0.25">
      <c r="A16" t="s">
        <v>4</v>
      </c>
      <c r="B16" s="4">
        <f>31.5+(ROUNDUP(B13-500,-2)/100)*2.42</f>
        <v>53.28</v>
      </c>
      <c r="E16" t="s">
        <v>4</v>
      </c>
      <c r="F16" s="4">
        <f>238.77+(ROUNDUP(F13-50000,-3)/1000)*1.47</f>
        <v>268.17</v>
      </c>
    </row>
    <row r="17" spans="1:6" ht="13" x14ac:dyDescent="0.3">
      <c r="A17" s="1" t="s">
        <v>5</v>
      </c>
      <c r="B17" s="7">
        <f>B14+B15+B16</f>
        <v>124.23</v>
      </c>
      <c r="E17" s="1" t="s">
        <v>5</v>
      </c>
      <c r="F17" s="7">
        <f>F14+F15+F16</f>
        <v>1117.095</v>
      </c>
    </row>
    <row r="19" spans="1:6" ht="15.5" x14ac:dyDescent="0.35">
      <c r="A19" s="2" t="s">
        <v>7</v>
      </c>
      <c r="B19" s="4"/>
    </row>
    <row r="20" spans="1:6" ht="15.5" x14ac:dyDescent="0.35">
      <c r="B20" s="4"/>
      <c r="E20" s="2" t="s">
        <v>35</v>
      </c>
      <c r="F20" s="5"/>
    </row>
    <row r="21" spans="1:6" x14ac:dyDescent="0.25">
      <c r="A21" t="s">
        <v>0</v>
      </c>
      <c r="B21" s="5">
        <v>4000</v>
      </c>
      <c r="F21" s="4"/>
    </row>
    <row r="22" spans="1:6" x14ac:dyDescent="0.25">
      <c r="A22" t="s">
        <v>1</v>
      </c>
      <c r="B22" s="4">
        <f>55+ROUNDUP((B21-2000),-3)/1000*9</f>
        <v>73</v>
      </c>
      <c r="E22" t="s">
        <v>0</v>
      </c>
      <c r="F22" s="5">
        <v>120000</v>
      </c>
    </row>
    <row r="23" spans="1:6" x14ac:dyDescent="0.25">
      <c r="A23" t="s">
        <v>2</v>
      </c>
      <c r="B23" s="4">
        <f>B22*0.65</f>
        <v>47.45</v>
      </c>
      <c r="E23" t="s">
        <v>1</v>
      </c>
      <c r="F23" s="4">
        <f>649.5+ROUNDUP((F22-100000),-3)/1000*3.5</f>
        <v>719.5</v>
      </c>
    </row>
    <row r="24" spans="1:6" x14ac:dyDescent="0.25">
      <c r="A24" t="s">
        <v>4</v>
      </c>
      <c r="B24" s="4">
        <f>67.73+(ROUNDUP(B21-2000,-3)/1000)*5.04</f>
        <v>77.81</v>
      </c>
      <c r="E24" t="s">
        <v>2</v>
      </c>
      <c r="F24" s="4">
        <f>F23*0.65</f>
        <v>467.67500000000001</v>
      </c>
    </row>
    <row r="25" spans="1:6" ht="13" x14ac:dyDescent="0.3">
      <c r="A25" s="1" t="s">
        <v>5</v>
      </c>
      <c r="B25" s="7">
        <f>B22+B23+B24</f>
        <v>198.26</v>
      </c>
      <c r="E25" t="s">
        <v>4</v>
      </c>
      <c r="F25" s="4">
        <f>312.27+(ROUNDUP(F13-50000,-3)/1000)*0.25</f>
        <v>317.27</v>
      </c>
    </row>
    <row r="26" spans="1:6" ht="13" x14ac:dyDescent="0.3">
      <c r="E26" s="1" t="s">
        <v>5</v>
      </c>
      <c r="F26" s="7">
        <f>F23+F24+F25</f>
        <v>1504.4449999999999</v>
      </c>
    </row>
  </sheetData>
  <sheetProtection sheet="1" objects="1" scenarios="1"/>
  <protectedRanges>
    <protectedRange sqref="B5 B13 B21 F5 F13 F22" name="Range1"/>
  </protectedRanges>
  <phoneticPr fontId="2" type="noConversion"/>
  <pageMargins left="0.75" right="0.75" top="1" bottom="1" header="0.5" footer="0.5"/>
  <pageSetup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44"/>
  <sheetViews>
    <sheetView workbookViewId="0">
      <selection activeCell="B3" sqref="B3"/>
    </sheetView>
  </sheetViews>
  <sheetFormatPr defaultRowHeight="12.5" x14ac:dyDescent="0.25"/>
  <cols>
    <col min="1" max="1" width="17.26953125" customWidth="1"/>
    <col min="2" max="2" width="12.453125" customWidth="1"/>
  </cols>
  <sheetData>
    <row r="1" spans="1:2" ht="15.5" x14ac:dyDescent="0.35">
      <c r="A1" s="2" t="s">
        <v>24</v>
      </c>
    </row>
    <row r="3" spans="1:2" ht="15.5" x14ac:dyDescent="0.35">
      <c r="A3" s="2" t="s">
        <v>21</v>
      </c>
    </row>
    <row r="5" spans="1:2" x14ac:dyDescent="0.25">
      <c r="A5" t="s">
        <v>0</v>
      </c>
      <c r="B5" s="5">
        <v>400</v>
      </c>
    </row>
    <row r="6" spans="1:2" x14ac:dyDescent="0.25">
      <c r="A6" t="s">
        <v>1</v>
      </c>
      <c r="B6" s="4">
        <v>25</v>
      </c>
    </row>
    <row r="7" spans="1:2" x14ac:dyDescent="0.25">
      <c r="A7" t="s">
        <v>4</v>
      </c>
      <c r="B7" s="4">
        <v>31.5</v>
      </c>
    </row>
    <row r="8" spans="1:2" ht="13" x14ac:dyDescent="0.3">
      <c r="A8" s="1" t="s">
        <v>5</v>
      </c>
      <c r="B8" s="7">
        <f>B6+B7</f>
        <v>56.5</v>
      </c>
    </row>
    <row r="10" spans="1:2" ht="15.5" x14ac:dyDescent="0.35">
      <c r="A10" s="2" t="s">
        <v>6</v>
      </c>
    </row>
    <row r="12" spans="1:2" x14ac:dyDescent="0.25">
      <c r="A12" t="s">
        <v>0</v>
      </c>
      <c r="B12" s="5">
        <v>600</v>
      </c>
    </row>
    <row r="13" spans="1:2" x14ac:dyDescent="0.25">
      <c r="A13" t="s">
        <v>1</v>
      </c>
      <c r="B13" s="4">
        <f>25+ROUNDUP((B12-500),-2)/100*2</f>
        <v>27</v>
      </c>
    </row>
    <row r="14" spans="1:2" x14ac:dyDescent="0.25">
      <c r="A14" t="s">
        <v>4</v>
      </c>
      <c r="B14" s="4">
        <f>31.5+(ROUNDUP(B12-500,-2)/100)*2.42</f>
        <v>33.92</v>
      </c>
    </row>
    <row r="15" spans="1:2" ht="13" x14ac:dyDescent="0.3">
      <c r="A15" s="1" t="s">
        <v>5</v>
      </c>
      <c r="B15" s="7">
        <f>B13+B14</f>
        <v>60.92</v>
      </c>
    </row>
    <row r="17" spans="1:2" ht="15.5" x14ac:dyDescent="0.35">
      <c r="A17" s="2" t="s">
        <v>7</v>
      </c>
      <c r="B17" s="4"/>
    </row>
    <row r="18" spans="1:2" x14ac:dyDescent="0.25">
      <c r="B18" s="4"/>
    </row>
    <row r="19" spans="1:2" x14ac:dyDescent="0.25">
      <c r="A19" t="s">
        <v>0</v>
      </c>
      <c r="B19" s="5">
        <v>3000</v>
      </c>
    </row>
    <row r="20" spans="1:2" x14ac:dyDescent="0.25">
      <c r="A20" t="s">
        <v>1</v>
      </c>
      <c r="B20" s="4">
        <f>55+ROUNDUP((B19-2000),-3)/1000*9</f>
        <v>64</v>
      </c>
    </row>
    <row r="21" spans="1:2" x14ac:dyDescent="0.25">
      <c r="A21" t="s">
        <v>4</v>
      </c>
      <c r="B21" s="4">
        <f>67.73+(ROUNDUP(B19-2000,-3)/1000)*5.04</f>
        <v>72.77000000000001</v>
      </c>
    </row>
    <row r="22" spans="1:2" ht="13" x14ac:dyDescent="0.3">
      <c r="A22" s="1" t="s">
        <v>5</v>
      </c>
      <c r="B22" s="7">
        <f>B20+B21</f>
        <v>136.77000000000001</v>
      </c>
    </row>
    <row r="24" spans="1:2" ht="15.5" x14ac:dyDescent="0.35">
      <c r="A24" s="2" t="s">
        <v>8</v>
      </c>
      <c r="B24" s="4"/>
    </row>
    <row r="25" spans="1:2" x14ac:dyDescent="0.25">
      <c r="B25" s="4"/>
    </row>
    <row r="26" spans="1:2" x14ac:dyDescent="0.25">
      <c r="A26" t="s">
        <v>0</v>
      </c>
      <c r="B26" s="5">
        <v>26000</v>
      </c>
    </row>
    <row r="27" spans="1:2" x14ac:dyDescent="0.25">
      <c r="A27" t="s">
        <v>1</v>
      </c>
      <c r="B27" s="4">
        <f>262+ROUNDUP((B26-25000),-3)/1000*6.5</f>
        <v>268.5</v>
      </c>
    </row>
    <row r="28" spans="1:2" x14ac:dyDescent="0.25">
      <c r="A28" t="s">
        <v>4</v>
      </c>
      <c r="B28" s="4">
        <f>183.65+(ROUNDUP(B26-25000,-3)/1000)*2.21</f>
        <v>185.86</v>
      </c>
    </row>
    <row r="29" spans="1:2" x14ac:dyDescent="0.25">
      <c r="B29" s="4"/>
    </row>
    <row r="30" spans="1:2" ht="13" x14ac:dyDescent="0.3">
      <c r="A30" s="1" t="s">
        <v>5</v>
      </c>
      <c r="B30" s="9">
        <f>B27+B28</f>
        <v>454.36</v>
      </c>
    </row>
    <row r="32" spans="1:2" ht="15.5" x14ac:dyDescent="0.35">
      <c r="A32" s="2" t="s">
        <v>9</v>
      </c>
      <c r="B32" s="5"/>
    </row>
    <row r="33" spans="1:2" x14ac:dyDescent="0.25">
      <c r="B33" s="4"/>
    </row>
    <row r="34" spans="1:2" x14ac:dyDescent="0.25">
      <c r="A34" t="s">
        <v>0</v>
      </c>
      <c r="B34" s="5">
        <v>51000</v>
      </c>
    </row>
    <row r="35" spans="1:2" x14ac:dyDescent="0.25">
      <c r="A35" t="s">
        <v>1</v>
      </c>
      <c r="B35" s="4">
        <f>424.5+ROUNDUP((B34-50000),-3)/1000*4.5</f>
        <v>429</v>
      </c>
    </row>
    <row r="36" spans="1:2" x14ac:dyDescent="0.25">
      <c r="A36" t="s">
        <v>4</v>
      </c>
      <c r="B36" s="4">
        <f>238.77+(ROUNDUP(B34-50000,-3)/1000)*1.47</f>
        <v>240.24</v>
      </c>
    </row>
    <row r="37" spans="1:2" ht="13" x14ac:dyDescent="0.3">
      <c r="A37" s="1" t="s">
        <v>5</v>
      </c>
      <c r="B37" s="7">
        <f>B35+B36</f>
        <v>669.24</v>
      </c>
    </row>
    <row r="39" spans="1:2" ht="15.5" x14ac:dyDescent="0.35">
      <c r="A39" s="2" t="s">
        <v>36</v>
      </c>
      <c r="B39" s="5"/>
    </row>
    <row r="40" spans="1:2" x14ac:dyDescent="0.25">
      <c r="B40" s="4"/>
    </row>
    <row r="41" spans="1:2" x14ac:dyDescent="0.25">
      <c r="A41" t="s">
        <v>0</v>
      </c>
      <c r="B41" s="5">
        <v>101000</v>
      </c>
    </row>
    <row r="42" spans="1:2" x14ac:dyDescent="0.25">
      <c r="A42" t="s">
        <v>1</v>
      </c>
      <c r="B42" s="4">
        <f>424.5+ROUNDUP((B41-50000),-3)/1000*3.5</f>
        <v>603</v>
      </c>
    </row>
    <row r="43" spans="1:2" x14ac:dyDescent="0.25">
      <c r="A43" t="s">
        <v>4</v>
      </c>
      <c r="B43" s="4">
        <f>312.27+(ROUNDUP(B41-50000,-3)/1000)*0.25</f>
        <v>325.02</v>
      </c>
    </row>
    <row r="44" spans="1:2" ht="13" x14ac:dyDescent="0.3">
      <c r="A44" s="1" t="s">
        <v>5</v>
      </c>
      <c r="B44" s="7">
        <f>B42+B43</f>
        <v>928.02</v>
      </c>
    </row>
  </sheetData>
  <sheetProtection sheet="1" objects="1" scenarios="1"/>
  <protectedRanges>
    <protectedRange sqref="B5 B12 B19 B26 B34 B41" name="Range1"/>
  </protectedRanges>
  <phoneticPr fontId="2" type="noConversion"/>
  <pageMargins left="0.75" right="0.75" top="1" bottom="1" header="0.5" footer="0.5"/>
  <pageSetup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52"/>
  <sheetViews>
    <sheetView workbookViewId="0">
      <selection activeCell="I35" activeCellId="11" sqref="B5 B15 B25 B35 F5 F15 F25 F35 I5 I15 I25 I35"/>
    </sheetView>
  </sheetViews>
  <sheetFormatPr defaultRowHeight="12.5" x14ac:dyDescent="0.25"/>
  <cols>
    <col min="1" max="1" width="18.54296875" customWidth="1"/>
    <col min="2" max="2" width="13.453125" customWidth="1"/>
    <col min="5" max="5" width="17.26953125" customWidth="1"/>
    <col min="6" max="6" width="15.7265625" customWidth="1"/>
    <col min="8" max="8" width="19.453125" customWidth="1"/>
    <col min="9" max="9" width="18" customWidth="1"/>
  </cols>
  <sheetData>
    <row r="1" spans="1:12" ht="15.5" x14ac:dyDescent="0.35">
      <c r="A1" s="2" t="s">
        <v>31</v>
      </c>
    </row>
    <row r="3" spans="1:12" ht="15.5" x14ac:dyDescent="0.35">
      <c r="A3" s="2" t="s">
        <v>17</v>
      </c>
      <c r="E3" s="2" t="s">
        <v>9</v>
      </c>
      <c r="F3" s="5"/>
      <c r="H3" s="11" t="s">
        <v>26</v>
      </c>
    </row>
    <row r="4" spans="1:12" x14ac:dyDescent="0.25">
      <c r="F4" s="4"/>
    </row>
    <row r="5" spans="1:12" x14ac:dyDescent="0.25">
      <c r="A5" t="s">
        <v>18</v>
      </c>
      <c r="B5" s="5">
        <v>500</v>
      </c>
      <c r="E5" t="s">
        <v>0</v>
      </c>
      <c r="F5" s="5">
        <v>51000</v>
      </c>
      <c r="H5" t="s">
        <v>0</v>
      </c>
      <c r="I5" s="5">
        <v>3000000</v>
      </c>
    </row>
    <row r="6" spans="1:12" x14ac:dyDescent="0.25">
      <c r="A6" t="s">
        <v>1</v>
      </c>
      <c r="B6" s="4">
        <v>25</v>
      </c>
      <c r="E6" t="s">
        <v>1</v>
      </c>
      <c r="F6" s="4">
        <f>424.5+ROUNDUP((F5-50000),-3)/1000*4.5</f>
        <v>429</v>
      </c>
      <c r="H6" t="s">
        <v>1</v>
      </c>
      <c r="I6" s="4">
        <f>3549.5+ROUNDUP((I5-1000000),-3)/1000*2</f>
        <v>7549.5</v>
      </c>
    </row>
    <row r="7" spans="1:12" x14ac:dyDescent="0.25">
      <c r="A7" t="s">
        <v>2</v>
      </c>
      <c r="B7" s="4">
        <f>B6*0.65</f>
        <v>16.25</v>
      </c>
      <c r="E7" t="s">
        <v>2</v>
      </c>
      <c r="F7" s="4">
        <f>F6*0.65</f>
        <v>278.85000000000002</v>
      </c>
      <c r="H7" t="s">
        <v>2</v>
      </c>
      <c r="I7" s="4">
        <f>I6*0.65</f>
        <v>4907.1750000000002</v>
      </c>
    </row>
    <row r="8" spans="1:12" x14ac:dyDescent="0.25">
      <c r="A8" t="s">
        <v>19</v>
      </c>
      <c r="B8" s="4">
        <f>B5*0.0005</f>
        <v>0.25</v>
      </c>
      <c r="E8" t="s">
        <v>3</v>
      </c>
      <c r="F8" s="4">
        <f>F5*0.0005</f>
        <v>25.5</v>
      </c>
      <c r="H8" t="s">
        <v>3</v>
      </c>
      <c r="I8" s="4">
        <f>900+((I5-2000000)*0.0003)</f>
        <v>1200</v>
      </c>
    </row>
    <row r="9" spans="1:12" x14ac:dyDescent="0.25">
      <c r="A9" t="s">
        <v>4</v>
      </c>
      <c r="B9" s="4">
        <v>31.5</v>
      </c>
      <c r="E9" t="s">
        <v>4</v>
      </c>
      <c r="F9" s="4">
        <f>238.77+(ROUNDUP(F5-50000,-3)/1000)*1.47</f>
        <v>240.24</v>
      </c>
      <c r="H9" t="s">
        <v>4</v>
      </c>
      <c r="I9" s="4">
        <f>312.27+(ROUNDUP(I5-100000,-3)/1000)*0.25</f>
        <v>1037.27</v>
      </c>
    </row>
    <row r="10" spans="1:12" x14ac:dyDescent="0.25">
      <c r="B10" s="4"/>
      <c r="I10" s="4"/>
    </row>
    <row r="11" spans="1:12" ht="13" x14ac:dyDescent="0.3">
      <c r="A11" s="1" t="s">
        <v>5</v>
      </c>
      <c r="B11" s="9">
        <f>B6+B7+B8+B9</f>
        <v>73</v>
      </c>
      <c r="E11" s="1" t="s">
        <v>30</v>
      </c>
      <c r="F11" s="9">
        <f>F6+F7+F8+F9</f>
        <v>973.59</v>
      </c>
      <c r="H11" s="1" t="s">
        <v>5</v>
      </c>
      <c r="I11" s="9">
        <f>I6+I7+I8+I9+I10</f>
        <v>14693.945</v>
      </c>
    </row>
    <row r="13" spans="1:12" ht="15.5" x14ac:dyDescent="0.35">
      <c r="A13" s="2" t="s">
        <v>20</v>
      </c>
      <c r="E13" s="2" t="s">
        <v>10</v>
      </c>
      <c r="H13" s="11" t="s">
        <v>27</v>
      </c>
    </row>
    <row r="15" spans="1:12" ht="15.5" x14ac:dyDescent="0.35">
      <c r="A15" t="s">
        <v>0</v>
      </c>
      <c r="B15" s="5">
        <v>600</v>
      </c>
      <c r="E15" t="s">
        <v>0</v>
      </c>
      <c r="F15" s="5">
        <v>200000</v>
      </c>
      <c r="H15" t="s">
        <v>0</v>
      </c>
      <c r="I15" s="5">
        <v>4000000</v>
      </c>
      <c r="L15" s="11"/>
    </row>
    <row r="16" spans="1:12" x14ac:dyDescent="0.25">
      <c r="A16" t="s">
        <v>1</v>
      </c>
      <c r="B16" s="4">
        <f>25+ROUNDUP((B15-500),-2)/100*2</f>
        <v>27</v>
      </c>
      <c r="E16" t="s">
        <v>1</v>
      </c>
      <c r="F16" s="4">
        <f>649.5+ROUNDUP((F15-100000),-3)/1000*3.5</f>
        <v>999.5</v>
      </c>
      <c r="H16" t="s">
        <v>1</v>
      </c>
      <c r="I16" s="4">
        <f>3549.5+ROUNDUP((I15-1000000),-3)/1000*2</f>
        <v>9549.5</v>
      </c>
    </row>
    <row r="17" spans="1:13" x14ac:dyDescent="0.25">
      <c r="A17" t="s">
        <v>2</v>
      </c>
      <c r="B17" s="4">
        <f>B16*0.65</f>
        <v>17.55</v>
      </c>
      <c r="E17" t="s">
        <v>2</v>
      </c>
      <c r="F17" s="4">
        <f>F16*0.65</f>
        <v>649.67500000000007</v>
      </c>
      <c r="H17" t="s">
        <v>2</v>
      </c>
      <c r="I17" s="4">
        <f>I16*0.65</f>
        <v>6207.1750000000002</v>
      </c>
      <c r="M17" s="5"/>
    </row>
    <row r="18" spans="1:13" x14ac:dyDescent="0.25">
      <c r="A18" t="s">
        <v>3</v>
      </c>
      <c r="B18" s="4">
        <f>B15*0.0005</f>
        <v>0.3</v>
      </c>
      <c r="E18" t="s">
        <v>3</v>
      </c>
      <c r="F18" s="4">
        <f>F15*0.0005</f>
        <v>100</v>
      </c>
      <c r="H18" t="s">
        <v>3</v>
      </c>
      <c r="I18" s="4">
        <f>1200+((I15-3000000)*0.0002)</f>
        <v>1400</v>
      </c>
      <c r="M18" s="4"/>
    </row>
    <row r="19" spans="1:13" x14ac:dyDescent="0.25">
      <c r="A19" t="s">
        <v>4</v>
      </c>
      <c r="B19" s="4">
        <f>31.5+(ROUNDUP(B15-500,-2)/100)*2.42</f>
        <v>33.92</v>
      </c>
      <c r="E19" t="s">
        <v>4</v>
      </c>
      <c r="F19" s="4">
        <f>312.27+(ROUNDUP(F15-100000,-3)/1000)*0.25</f>
        <v>337.27</v>
      </c>
      <c r="H19" t="s">
        <v>4</v>
      </c>
      <c r="I19" s="4">
        <f>312.27+(ROUNDUP(I15-100000,-3)/1000)*0.25</f>
        <v>1287.27</v>
      </c>
      <c r="M19" s="4"/>
    </row>
    <row r="20" spans="1:13" x14ac:dyDescent="0.25">
      <c r="B20" s="4"/>
      <c r="F20" s="4"/>
      <c r="I20" s="4"/>
      <c r="M20" s="4"/>
    </row>
    <row r="21" spans="1:13" ht="13" x14ac:dyDescent="0.3">
      <c r="A21" s="1" t="s">
        <v>5</v>
      </c>
      <c r="B21" s="9">
        <f>B16+B17+B18+B19</f>
        <v>78.77</v>
      </c>
      <c r="E21" s="1" t="s">
        <v>5</v>
      </c>
      <c r="F21" s="9">
        <f>SUM(F16:F19)</f>
        <v>2086.4450000000002</v>
      </c>
      <c r="H21" s="1" t="s">
        <v>5</v>
      </c>
      <c r="I21" s="9">
        <f>I16+I17+I18+I19+I20</f>
        <v>18443.945</v>
      </c>
      <c r="M21" s="4"/>
    </row>
    <row r="22" spans="1:13" x14ac:dyDescent="0.25">
      <c r="B22" s="4"/>
      <c r="M22" s="4"/>
    </row>
    <row r="23" spans="1:13" ht="15.5" x14ac:dyDescent="0.35">
      <c r="A23" s="2" t="s">
        <v>7</v>
      </c>
      <c r="B23" s="4"/>
      <c r="E23" s="2" t="s">
        <v>11</v>
      </c>
      <c r="H23" s="11" t="s">
        <v>28</v>
      </c>
      <c r="L23" s="1"/>
      <c r="M23" s="9"/>
    </row>
    <row r="24" spans="1:13" x14ac:dyDescent="0.25">
      <c r="B24" s="4"/>
    </row>
    <row r="25" spans="1:13" x14ac:dyDescent="0.25">
      <c r="A25" t="s">
        <v>0</v>
      </c>
      <c r="B25" s="5">
        <v>10000</v>
      </c>
      <c r="E25" t="s">
        <v>0</v>
      </c>
      <c r="F25" s="5">
        <v>1000000</v>
      </c>
      <c r="H25" t="s">
        <v>0</v>
      </c>
      <c r="I25" s="5">
        <v>4500000</v>
      </c>
    </row>
    <row r="26" spans="1:13" x14ac:dyDescent="0.25">
      <c r="A26" t="s">
        <v>1</v>
      </c>
      <c r="B26" s="4">
        <f>55+ROUNDUP((B25-2000),-3)/1000*9</f>
        <v>127</v>
      </c>
      <c r="E26" t="s">
        <v>1</v>
      </c>
      <c r="F26" s="4">
        <f>2049.5+ROUNDUP((F25-500000),-3)/1000*3</f>
        <v>3549.5</v>
      </c>
      <c r="H26" t="s">
        <v>1</v>
      </c>
      <c r="I26" s="4">
        <f>3549.5+ROUNDUP((I25-1000000),-3)/1000*2</f>
        <v>10549.5</v>
      </c>
    </row>
    <row r="27" spans="1:13" x14ac:dyDescent="0.25">
      <c r="A27" t="s">
        <v>2</v>
      </c>
      <c r="B27" s="4">
        <f>B26*0.65</f>
        <v>82.55</v>
      </c>
      <c r="E27" t="s">
        <v>2</v>
      </c>
      <c r="F27" s="4">
        <f>F26*0.65</f>
        <v>2307.1750000000002</v>
      </c>
      <c r="H27" t="s">
        <v>2</v>
      </c>
      <c r="I27" s="4">
        <f>I26*0.65</f>
        <v>6857.1750000000002</v>
      </c>
    </row>
    <row r="28" spans="1:13" x14ac:dyDescent="0.25">
      <c r="A28" t="s">
        <v>3</v>
      </c>
      <c r="B28" s="4">
        <f>B25*0.0005</f>
        <v>5</v>
      </c>
      <c r="E28" t="s">
        <v>3</v>
      </c>
      <c r="F28" s="4">
        <f>F25*0.0005</f>
        <v>500</v>
      </c>
      <c r="H28" t="s">
        <v>3</v>
      </c>
      <c r="I28" s="4">
        <f>1400+(I25-4000000)*0.0001</f>
        <v>1450</v>
      </c>
    </row>
    <row r="29" spans="1:13" x14ac:dyDescent="0.25">
      <c r="A29" t="s">
        <v>4</v>
      </c>
      <c r="B29" s="4">
        <f>67.73+(ROUNDUP(B25-2000,-3)/1000)*5.04</f>
        <v>108.05000000000001</v>
      </c>
      <c r="E29" t="s">
        <v>4</v>
      </c>
      <c r="F29" s="4">
        <f>312.27+(ROUNDUP(F25-100000,-3)/1000)*0.25</f>
        <v>537.27</v>
      </c>
      <c r="H29" t="s">
        <v>4</v>
      </c>
      <c r="I29" s="4">
        <f>312.27+(ROUNDUP(I25-100000,-3)/1000)*0.25</f>
        <v>1412.27</v>
      </c>
    </row>
    <row r="30" spans="1:13" x14ac:dyDescent="0.25">
      <c r="B30" s="4"/>
      <c r="F30" s="4"/>
      <c r="I30" s="4"/>
    </row>
    <row r="31" spans="1:13" ht="13" x14ac:dyDescent="0.3">
      <c r="A31" s="1" t="s">
        <v>5</v>
      </c>
      <c r="B31" s="9">
        <f>B26+B27+B28+B29</f>
        <v>322.60000000000002</v>
      </c>
      <c r="E31" s="1" t="s">
        <v>5</v>
      </c>
      <c r="F31" s="9">
        <f>F26+F27+F28+F29+F30</f>
        <v>6893.9449999999997</v>
      </c>
      <c r="H31" s="1" t="s">
        <v>5</v>
      </c>
      <c r="I31" s="9">
        <f>I26+I27+I28+I29+I30</f>
        <v>20268.945</v>
      </c>
    </row>
    <row r="32" spans="1:13" x14ac:dyDescent="0.25">
      <c r="B32" s="4"/>
    </row>
    <row r="33" spans="1:9" ht="15.5" x14ac:dyDescent="0.35">
      <c r="A33" s="2" t="s">
        <v>8</v>
      </c>
      <c r="B33" s="4"/>
      <c r="E33" s="11" t="s">
        <v>25</v>
      </c>
      <c r="H33" s="11" t="s">
        <v>29</v>
      </c>
    </row>
    <row r="34" spans="1:9" x14ac:dyDescent="0.25">
      <c r="B34" s="4"/>
    </row>
    <row r="35" spans="1:9" x14ac:dyDescent="0.25">
      <c r="A35" t="s">
        <v>0</v>
      </c>
      <c r="B35" s="5">
        <v>26000</v>
      </c>
      <c r="E35" t="s">
        <v>0</v>
      </c>
      <c r="F35" s="5">
        <v>1100000</v>
      </c>
      <c r="H35" t="s">
        <v>0</v>
      </c>
      <c r="I35" s="5">
        <v>20000000</v>
      </c>
    </row>
    <row r="36" spans="1:9" x14ac:dyDescent="0.25">
      <c r="A36" t="s">
        <v>1</v>
      </c>
      <c r="B36" s="4">
        <f>262+ROUNDUP((B35-25000),-3)/1000*6.5</f>
        <v>268.5</v>
      </c>
      <c r="E36" t="s">
        <v>1</v>
      </c>
      <c r="F36" s="4">
        <f>3549.5+ROUNDUP((F35-1000000),-3)/1000*2</f>
        <v>3749.5</v>
      </c>
      <c r="H36" t="s">
        <v>1</v>
      </c>
      <c r="I36" s="4">
        <f>3549.5+ROUNDUP((I35-1000000),-3)/1000*2</f>
        <v>41549.5</v>
      </c>
    </row>
    <row r="37" spans="1:9" x14ac:dyDescent="0.25">
      <c r="A37" t="s">
        <v>2</v>
      </c>
      <c r="B37" s="4">
        <f>B36*0.65</f>
        <v>174.52500000000001</v>
      </c>
      <c r="E37" t="s">
        <v>2</v>
      </c>
      <c r="F37" s="4">
        <f>F36*0.65</f>
        <v>2437.1750000000002</v>
      </c>
      <c r="H37" t="s">
        <v>2</v>
      </c>
      <c r="I37" s="4">
        <f>I36*0.65</f>
        <v>27007.174999999999</v>
      </c>
    </row>
    <row r="38" spans="1:9" x14ac:dyDescent="0.25">
      <c r="A38" t="s">
        <v>3</v>
      </c>
      <c r="B38" s="4">
        <f>B35*0.0005</f>
        <v>13</v>
      </c>
      <c r="E38" t="s">
        <v>3</v>
      </c>
      <c r="F38" s="4">
        <f>500+((F35-1000000)*0.0004)</f>
        <v>540</v>
      </c>
      <c r="H38" t="s">
        <v>3</v>
      </c>
      <c r="I38" s="4">
        <f>1500+(I35-5000000)*0.00005</f>
        <v>2250</v>
      </c>
    </row>
    <row r="39" spans="1:9" x14ac:dyDescent="0.25">
      <c r="A39" t="s">
        <v>4</v>
      </c>
      <c r="B39" s="4">
        <f>183.65+(ROUNDUP(B35-25000,-3)/1000)*2.21</f>
        <v>185.86</v>
      </c>
      <c r="E39" t="s">
        <v>4</v>
      </c>
      <c r="F39" s="4">
        <f>312.27+(ROUNDUP(F35-100000,-3)/1000)*0.25</f>
        <v>562.27</v>
      </c>
      <c r="H39" t="s">
        <v>4</v>
      </c>
      <c r="I39" s="4">
        <f>312.27+(ROUNDUP(I35-100000,-3)/1000)*0.25</f>
        <v>5287.27</v>
      </c>
    </row>
    <row r="40" spans="1:9" x14ac:dyDescent="0.25">
      <c r="B40" s="4"/>
      <c r="F40" s="4"/>
      <c r="I40" s="4"/>
    </row>
    <row r="41" spans="1:9" ht="13" x14ac:dyDescent="0.3">
      <c r="A41" s="1" t="s">
        <v>5</v>
      </c>
      <c r="B41" s="9">
        <f>B36+B37+B38+B39</f>
        <v>641.88499999999999</v>
      </c>
      <c r="E41" s="1" t="s">
        <v>5</v>
      </c>
      <c r="F41" s="9">
        <f>F36+F37+F38+F39+F40</f>
        <v>7288.9449999999997</v>
      </c>
      <c r="H41" s="1" t="s">
        <v>5</v>
      </c>
      <c r="I41" s="9">
        <f>I36+I37+I38+I39+I40</f>
        <v>76093.945000000007</v>
      </c>
    </row>
    <row r="44" spans="1:9" ht="15.5" x14ac:dyDescent="0.35">
      <c r="A44" s="11"/>
    </row>
    <row r="46" spans="1:9" x14ac:dyDescent="0.25">
      <c r="B46" s="5"/>
    </row>
    <row r="47" spans="1:9" x14ac:dyDescent="0.25">
      <c r="B47" s="4"/>
    </row>
    <row r="48" spans="1:9" x14ac:dyDescent="0.25">
      <c r="B48" s="4"/>
    </row>
    <row r="49" spans="1:2" x14ac:dyDescent="0.25">
      <c r="B49" s="4"/>
    </row>
    <row r="50" spans="1:2" x14ac:dyDescent="0.25">
      <c r="B50" s="4"/>
    </row>
    <row r="51" spans="1:2" x14ac:dyDescent="0.25">
      <c r="B51" s="4"/>
    </row>
    <row r="52" spans="1:2" ht="13" x14ac:dyDescent="0.3">
      <c r="A52" s="1"/>
      <c r="B52" s="9"/>
    </row>
  </sheetData>
  <sheetProtection sheet="1" objects="1" scenarios="1"/>
  <protectedRanges>
    <protectedRange sqref="B5 B15 B25 B35 F5 F15 F25 F35 I5 I15 I25 I35" name="Range1"/>
  </protectedRanges>
  <phoneticPr fontId="2" type="noConversion"/>
  <pageMargins left="0.75" right="0.75" top="1" bottom="1" header="0.5" footer="0.5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1CAA08-1360-4825-AECF-D7C30DB3F9A1}">
  <dimension ref="A1:K10"/>
  <sheetViews>
    <sheetView workbookViewId="0">
      <selection activeCell="B4" sqref="B4"/>
    </sheetView>
  </sheetViews>
  <sheetFormatPr defaultRowHeight="12.5" x14ac:dyDescent="0.25"/>
  <cols>
    <col min="1" max="1" width="23.453125" customWidth="1"/>
    <col min="2" max="2" width="26.54296875" bestFit="1" customWidth="1"/>
    <col min="3" max="3" width="2.1796875" customWidth="1"/>
    <col min="5" max="5" width="11.453125" customWidth="1"/>
    <col min="6" max="6" width="2" customWidth="1"/>
    <col min="8" max="8" width="11.1796875" customWidth="1"/>
    <col min="9" max="9" width="2.7265625" customWidth="1"/>
    <col min="10" max="10" width="10.54296875" customWidth="1"/>
    <col min="11" max="11" width="11.54296875" customWidth="1"/>
  </cols>
  <sheetData>
    <row r="1" spans="1:11" ht="15.5" x14ac:dyDescent="0.35">
      <c r="A1" s="16" t="s">
        <v>38</v>
      </c>
      <c r="D1" s="2" t="s">
        <v>39</v>
      </c>
      <c r="G1" s="2" t="s">
        <v>40</v>
      </c>
      <c r="J1" s="2" t="s">
        <v>41</v>
      </c>
    </row>
    <row r="2" spans="1:11" x14ac:dyDescent="0.25">
      <c r="B2" s="17" t="s">
        <v>52</v>
      </c>
    </row>
    <row r="3" spans="1:11" x14ac:dyDescent="0.25">
      <c r="A3" t="s">
        <v>42</v>
      </c>
      <c r="B3" s="6">
        <v>1</v>
      </c>
      <c r="D3" t="s">
        <v>43</v>
      </c>
      <c r="E3" s="6">
        <v>1</v>
      </c>
      <c r="G3" t="s">
        <v>43</v>
      </c>
      <c r="H3" s="6">
        <v>1</v>
      </c>
      <c r="J3" t="s">
        <v>44</v>
      </c>
      <c r="K3" s="6">
        <v>1</v>
      </c>
    </row>
    <row r="4" spans="1:11" ht="13" x14ac:dyDescent="0.3">
      <c r="A4" t="s">
        <v>45</v>
      </c>
      <c r="B4" s="6">
        <v>0</v>
      </c>
      <c r="D4" t="s">
        <v>46</v>
      </c>
      <c r="E4" s="6">
        <v>1</v>
      </c>
      <c r="G4" t="s">
        <v>46</v>
      </c>
      <c r="H4" s="6">
        <v>1</v>
      </c>
      <c r="K4" s="7">
        <f>K3*17.5</f>
        <v>17.5</v>
      </c>
    </row>
    <row r="5" spans="1:11" x14ac:dyDescent="0.25">
      <c r="A5" t="s">
        <v>47</v>
      </c>
      <c r="B5" s="6">
        <v>0</v>
      </c>
    </row>
    <row r="6" spans="1:11" ht="13" x14ac:dyDescent="0.3">
      <c r="A6" t="s">
        <v>48</v>
      </c>
      <c r="B6" s="6">
        <v>0</v>
      </c>
      <c r="D6" s="1" t="s">
        <v>0</v>
      </c>
      <c r="E6" s="7">
        <f>(E3*E4)*17.5</f>
        <v>17.5</v>
      </c>
      <c r="G6" s="1" t="s">
        <v>0</v>
      </c>
      <c r="H6" s="7">
        <f>(H3*H4)*25</f>
        <v>25</v>
      </c>
    </row>
    <row r="7" spans="1:11" x14ac:dyDescent="0.25">
      <c r="A7" t="s">
        <v>49</v>
      </c>
      <c r="B7" s="6">
        <v>0</v>
      </c>
    </row>
    <row r="8" spans="1:11" x14ac:dyDescent="0.25">
      <c r="A8" t="s">
        <v>50</v>
      </c>
      <c r="B8" s="6">
        <v>0</v>
      </c>
    </row>
    <row r="10" spans="1:11" ht="13" x14ac:dyDescent="0.3">
      <c r="A10" s="1" t="s">
        <v>51</v>
      </c>
      <c r="B10" s="7">
        <f>(B3*100.26)+(B4*35)+(B5*16.5)+(B6*39.72)+(B7*25)+(B8*17.5)</f>
        <v>100.26</v>
      </c>
    </row>
  </sheetData>
  <sheetProtection sheet="1" objects="1" scenarios="1"/>
  <protectedRanges>
    <protectedRange sqref="B3:B8 E3:E4 H3:H4 K3" name="Range1"/>
  </protectedRanges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Disclaimer</vt:lpstr>
      <vt:lpstr>NEW SFD, ADDS, DECKS, ACCES STR</vt:lpstr>
      <vt:lpstr>Residential Alter.</vt:lpstr>
      <vt:lpstr>Mfg. Home</vt:lpstr>
      <vt:lpstr>Business Sign</vt:lpstr>
      <vt:lpstr>Demolition</vt:lpstr>
      <vt:lpstr>Commercial</vt:lpstr>
      <vt:lpstr>Valuation Calculations</vt:lpstr>
    </vt:vector>
  </TitlesOfParts>
  <Company>City of Rochester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kheppelman</dc:creator>
  <cp:lastModifiedBy>Ryan Kling-Punt</cp:lastModifiedBy>
  <cp:lastPrinted>2014-10-17T21:14:47Z</cp:lastPrinted>
  <dcterms:created xsi:type="dcterms:W3CDTF">2007-12-07T20:16:59Z</dcterms:created>
  <dcterms:modified xsi:type="dcterms:W3CDTF">2026-01-23T21:04:48Z</dcterms:modified>
  <cp:contentStatus/>
</cp:coreProperties>
</file>